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65" windowHeight="94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<sst xmlns="http://schemas.openxmlformats.org/spreadsheetml/2006/main" count="122" uniqueCount="107">
  <si>
    <t>Estructura y desarrollo de rebaño para una granja caprina.</t>
  </si>
  <si>
    <t>Años</t>
  </si>
  <si>
    <t>INDICADORES TÉCNICOS</t>
  </si>
  <si>
    <t>Reproductivos</t>
  </si>
  <si>
    <t>Fertilidad de vientres</t>
  </si>
  <si>
    <t>Fertilidad de primalas</t>
  </si>
  <si>
    <t>Prolificidad de vientres</t>
  </si>
  <si>
    <t>Prolificidad de primalas</t>
  </si>
  <si>
    <t>Relación hembras:macho</t>
  </si>
  <si>
    <t>De viabilidad</t>
  </si>
  <si>
    <t>Mortalidad en lactancia</t>
  </si>
  <si>
    <t>Mortalidad en desarrollo</t>
  </si>
  <si>
    <t>Mortalidad en primalas</t>
  </si>
  <si>
    <t>Mortalidad en adultos</t>
  </si>
  <si>
    <t>De permanencia</t>
  </si>
  <si>
    <t>Tasa de desecho en hembras</t>
  </si>
  <si>
    <t>Tasa de desecho en sementales</t>
  </si>
  <si>
    <t>De expansión</t>
  </si>
  <si>
    <t>Tasa de crecimiento del rebaño</t>
  </si>
  <si>
    <t>Promedios de peso (kg)</t>
  </si>
  <si>
    <t>Vientres</t>
  </si>
  <si>
    <t>Primalas</t>
  </si>
  <si>
    <t>hembras en desarrollo</t>
  </si>
  <si>
    <t>Sementales</t>
  </si>
  <si>
    <t>De producción</t>
  </si>
  <si>
    <t>Duración de la lactancia en vientres (días)</t>
  </si>
  <si>
    <t>Duración de la lactancia en primalas (días)</t>
  </si>
  <si>
    <t>Producción diaria promedio en vientres (kg)</t>
  </si>
  <si>
    <t>Producción diaria promedio en primalas (kg)</t>
  </si>
  <si>
    <t>Producción de vientres por lactación (kg)</t>
  </si>
  <si>
    <t>Producción de primalas por lactación (kg)</t>
  </si>
  <si>
    <t>De rendimiento</t>
  </si>
  <si>
    <t>Leche a queso</t>
  </si>
  <si>
    <t>Leche a cajeta</t>
  </si>
  <si>
    <t>Desperdicio en la alimentación(%)</t>
  </si>
  <si>
    <t>Económicos</t>
  </si>
  <si>
    <t>Precios</t>
  </si>
  <si>
    <t>Leche (kg)</t>
  </si>
  <si>
    <t>Queso (pza. de 150 g)</t>
  </si>
  <si>
    <t>Cajeta (kg)</t>
  </si>
  <si>
    <t>Cabrito (pza.)</t>
  </si>
  <si>
    <t>Hembra de desecho (pza.)</t>
  </si>
  <si>
    <t>Semental de desecho (pza.)</t>
  </si>
  <si>
    <t>Semental (pza.)</t>
  </si>
  <si>
    <t>Primala (pza.)</t>
  </si>
  <si>
    <t>Precio por kg de dieta</t>
  </si>
  <si>
    <t>Valor de depreciación por hembra ($/pza.)</t>
  </si>
  <si>
    <t>Valor de depreciación por semental ($/pza.)</t>
  </si>
  <si>
    <t>Costo unitario de transformación leche-queso ($)</t>
  </si>
  <si>
    <t>Costo unitario de transformación leche-cajeta ($)</t>
  </si>
  <si>
    <t>Factor de inflación anual</t>
  </si>
  <si>
    <t>INVENTARIO GANADERO</t>
  </si>
  <si>
    <t>Lactantes machos</t>
  </si>
  <si>
    <t>Lactantes hembras</t>
  </si>
  <si>
    <t>Hembras en desarrollo</t>
  </si>
  <si>
    <t>Total de hembras en etapas productivas</t>
  </si>
  <si>
    <t>Total del inventario</t>
  </si>
  <si>
    <t>Número máximo de hembras</t>
  </si>
  <si>
    <t>Primalas a venta</t>
  </si>
  <si>
    <t>Primalas a comprar</t>
  </si>
  <si>
    <t>Sementales requeridos</t>
  </si>
  <si>
    <t>Sementales a comprar</t>
  </si>
  <si>
    <t>Animales desechados</t>
  </si>
  <si>
    <t>Hembras</t>
  </si>
  <si>
    <t>Producción láctea</t>
  </si>
  <si>
    <t>Total de leche (kg)</t>
  </si>
  <si>
    <t>Producción opcional de queso (kg)</t>
  </si>
  <si>
    <t>Quesos producidos de 150 g (pzas.)</t>
  </si>
  <si>
    <t>Producción opcional de cajeta (kg)</t>
  </si>
  <si>
    <t>ANÁLISIS ECONÓMICO</t>
  </si>
  <si>
    <t>INGRESOS ($)</t>
  </si>
  <si>
    <t>Opción leche</t>
  </si>
  <si>
    <t>Opción queso</t>
  </si>
  <si>
    <t>Opción cajeta</t>
  </si>
  <si>
    <t>Por cabritos</t>
  </si>
  <si>
    <t>Por desechos</t>
  </si>
  <si>
    <t>Por primalas</t>
  </si>
  <si>
    <t>Total ingresos con la opción leche</t>
  </si>
  <si>
    <t>Total ingresos con la opción queso</t>
  </si>
  <si>
    <t>Total ingresos con la opción cajeta</t>
  </si>
  <si>
    <t>INVERSIONES ($)</t>
  </si>
  <si>
    <t>Inversión por hembras</t>
  </si>
  <si>
    <t>Inversión por sementales</t>
  </si>
  <si>
    <t>Inversión por instalaciones</t>
  </si>
  <si>
    <t>Equipo sin motor</t>
  </si>
  <si>
    <t>Equipo con motor</t>
  </si>
  <si>
    <t>Total</t>
  </si>
  <si>
    <t>GASTOS ($)</t>
  </si>
  <si>
    <t>Renta de la tierra</t>
  </si>
  <si>
    <t>Mano de obra</t>
  </si>
  <si>
    <t>Agua</t>
  </si>
  <si>
    <t>Energía</t>
  </si>
  <si>
    <t>Asesoría</t>
  </si>
  <si>
    <t>Medicamentos</t>
  </si>
  <si>
    <t>Mantenimiento</t>
  </si>
  <si>
    <t>Otros</t>
  </si>
  <si>
    <t>Alimentación</t>
  </si>
  <si>
    <t>Desarrollo</t>
  </si>
  <si>
    <t>Desperdicio</t>
  </si>
  <si>
    <t>Total por alimentación</t>
  </si>
  <si>
    <t>Transformación de leche a queso</t>
  </si>
  <si>
    <t>Transformación de leche a cajeta</t>
  </si>
  <si>
    <t>Total de gastos en opción leche</t>
  </si>
  <si>
    <t>Total de gastos en opción queso</t>
  </si>
  <si>
    <t>Total de gastos en la opción cajeta</t>
  </si>
  <si>
    <t>Total de egresos</t>
  </si>
  <si>
    <t>Utilidad Neta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</si>
</sst>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61"/>
      <name val="Arial"/>
      <family val="2"/>
    </font>
    <font>
      <sz val="11"/>
      <color indexed="53"/>
      <name val="Arial"/>
      <family val="2"/>
    </font>
    <font>
      <sz val="10"/>
      <color indexed="53"/>
      <name val="Arial"/>
      <family val="0"/>
    </font>
    <font>
      <b/>
      <sz val="11"/>
      <name val="Arial"/>
      <family val="2"/>
    </font>
    <font>
      <sz val="11"/>
      <color indexed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1" fontId="23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2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4" fontId="26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165" fontId="23" fillId="0" borderId="0" xfId="46" applyNumberFormat="1" applyFont="1" applyAlignment="1">
      <alignment/>
    </xf>
    <xf numFmtId="165" fontId="0" fillId="0" borderId="0" xfId="0" applyNumberForma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66" fontId="23" fillId="0" borderId="0" xfId="46" applyNumberFormat="1" applyFont="1" applyAlignment="1">
      <alignment/>
    </xf>
    <xf numFmtId="166" fontId="0" fillId="0" borderId="0" xfId="46" applyNumberFormat="1" applyFont="1" applyAlignment="1">
      <alignment/>
    </xf>
    <xf numFmtId="166" fontId="23" fillId="0" borderId="0" xfId="46" applyNumberFormat="1" applyFont="1" applyAlignment="1">
      <alignment horizontal="right"/>
    </xf>
    <xf numFmtId="166" fontId="0" fillId="0" borderId="0" xfId="46" applyNumberFormat="1" applyFont="1" applyAlignment="1">
      <alignment horizontal="right"/>
    </xf>
    <xf numFmtId="0" fontId="2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PageLayoutView="0" workbookViewId="0" topLeftCell="A121">
      <selection activeCell="B1" sqref="B1:H65536"/>
    </sheetView>
  </sheetViews>
  <sheetFormatPr defaultColWidth="11.421875" defaultRowHeight="15"/>
  <cols>
    <col min="1" max="1" width="41.00390625" style="0" customWidth="1"/>
    <col min="2" max="3" width="16.00390625" style="0" customWidth="1"/>
    <col min="4" max="4" width="16.00390625" style="2" customWidth="1"/>
    <col min="5" max="8" width="16.00390625" style="0" customWidth="1"/>
  </cols>
  <sheetData>
    <row r="1" ht="18">
      <c r="A1" s="1" t="s">
        <v>0</v>
      </c>
    </row>
    <row r="3" ht="15.75">
      <c r="B3" s="3" t="s">
        <v>1</v>
      </c>
    </row>
    <row r="5" spans="1:8" ht="15">
      <c r="A5" s="4" t="s">
        <v>2</v>
      </c>
      <c r="B5" s="4">
        <v>1</v>
      </c>
      <c r="C5" s="4">
        <v>2</v>
      </c>
      <c r="D5" s="5">
        <v>3</v>
      </c>
      <c r="E5" s="4">
        <v>4</v>
      </c>
      <c r="F5" s="4">
        <v>5</v>
      </c>
      <c r="G5">
        <f>F5+1</f>
        <v>6</v>
      </c>
      <c r="H5">
        <f>G5+1</f>
        <v>7</v>
      </c>
    </row>
    <row r="7" spans="1:3" ht="15">
      <c r="A7" s="6" t="s">
        <v>3</v>
      </c>
      <c r="B7" s="7"/>
      <c r="C7" s="7"/>
    </row>
    <row r="8" spans="1:8" ht="15">
      <c r="A8" s="7" t="s">
        <v>4</v>
      </c>
      <c r="B8" s="7">
        <v>0.65</v>
      </c>
      <c r="C8" s="7">
        <v>0.8</v>
      </c>
      <c r="D8" s="7">
        <v>0.85</v>
      </c>
      <c r="E8" s="7">
        <v>0.89</v>
      </c>
      <c r="F8" s="7">
        <v>0.89</v>
      </c>
      <c r="G8" s="7">
        <v>0.89</v>
      </c>
      <c r="H8" s="7">
        <v>0.89</v>
      </c>
    </row>
    <row r="9" spans="1:8" ht="15">
      <c r="A9" s="7" t="s">
        <v>5</v>
      </c>
      <c r="B9" s="7">
        <v>0.5</v>
      </c>
      <c r="C9" s="7">
        <v>0.7</v>
      </c>
      <c r="D9" s="7">
        <v>0.78</v>
      </c>
      <c r="E9" s="7">
        <v>0.83</v>
      </c>
      <c r="F9" s="7">
        <v>0.83</v>
      </c>
      <c r="G9" s="7">
        <v>0.83</v>
      </c>
      <c r="H9" s="7">
        <v>0.83</v>
      </c>
    </row>
    <row r="10" spans="1:8" ht="15">
      <c r="A10" s="7" t="s">
        <v>6</v>
      </c>
      <c r="B10" s="7">
        <v>1.1</v>
      </c>
      <c r="C10" s="7">
        <v>1.4</v>
      </c>
      <c r="D10" s="7">
        <v>1.45</v>
      </c>
      <c r="E10" s="7">
        <v>1.5</v>
      </c>
      <c r="F10" s="7">
        <v>1.5</v>
      </c>
      <c r="G10" s="7">
        <v>1.5</v>
      </c>
      <c r="H10" s="7">
        <v>1.5</v>
      </c>
    </row>
    <row r="11" spans="1:11" ht="15">
      <c r="A11" s="7" t="s">
        <v>7</v>
      </c>
      <c r="B11" s="7">
        <v>0.9</v>
      </c>
      <c r="C11" s="7">
        <v>1</v>
      </c>
      <c r="D11" s="7">
        <f>C11</f>
        <v>1</v>
      </c>
      <c r="E11" s="7">
        <f>D11</f>
        <v>1</v>
      </c>
      <c r="F11" s="7">
        <f>E11</f>
        <v>1</v>
      </c>
      <c r="G11" s="7">
        <f>F11</f>
        <v>1</v>
      </c>
      <c r="H11" s="7">
        <f>G11</f>
        <v>1</v>
      </c>
      <c r="I11" s="7"/>
      <c r="J11" s="7"/>
      <c r="K11" s="7"/>
    </row>
    <row r="12" spans="1:8" ht="15">
      <c r="A12" s="7" t="s">
        <v>8</v>
      </c>
      <c r="B12" s="7"/>
      <c r="C12" s="7">
        <v>30</v>
      </c>
      <c r="D12" s="7">
        <v>30</v>
      </c>
      <c r="E12" s="7">
        <v>30</v>
      </c>
      <c r="F12" s="7">
        <v>30</v>
      </c>
      <c r="G12" s="7">
        <v>30</v>
      </c>
      <c r="H12" s="7">
        <v>30</v>
      </c>
    </row>
    <row r="13" spans="1:8" ht="15">
      <c r="A13" s="7"/>
      <c r="B13" s="7"/>
      <c r="C13" s="7"/>
      <c r="D13" s="7"/>
      <c r="E13" s="7"/>
      <c r="F13" s="7"/>
      <c r="G13" s="7"/>
      <c r="H13" s="7"/>
    </row>
    <row r="14" spans="1:8" ht="15">
      <c r="A14" s="6" t="s">
        <v>9</v>
      </c>
      <c r="B14" s="7"/>
      <c r="C14" s="7"/>
      <c r="D14" s="7"/>
      <c r="E14" s="7"/>
      <c r="F14" s="7"/>
      <c r="G14" s="7"/>
      <c r="H14" s="7"/>
    </row>
    <row r="15" spans="1:8" ht="15">
      <c r="A15" s="7" t="s">
        <v>10</v>
      </c>
      <c r="B15" s="7">
        <v>0.15</v>
      </c>
      <c r="C15" s="7">
        <v>0.12</v>
      </c>
      <c r="D15" s="7">
        <v>0.1</v>
      </c>
      <c r="E15" s="7">
        <v>0.09</v>
      </c>
      <c r="F15" s="7">
        <v>0.09</v>
      </c>
      <c r="G15" s="7">
        <v>0.09</v>
      </c>
      <c r="H15" s="7">
        <v>0.09</v>
      </c>
    </row>
    <row r="16" spans="1:8" ht="15">
      <c r="A16" s="7" t="s">
        <v>11</v>
      </c>
      <c r="B16" s="7">
        <v>0.12</v>
      </c>
      <c r="C16" s="7">
        <v>0.09</v>
      </c>
      <c r="D16" s="7">
        <v>0.08</v>
      </c>
      <c r="E16" s="7">
        <v>0.05</v>
      </c>
      <c r="F16" s="7">
        <v>0.05</v>
      </c>
      <c r="G16" s="7">
        <v>0.05</v>
      </c>
      <c r="H16" s="7">
        <v>0.05</v>
      </c>
    </row>
    <row r="17" spans="1:8" ht="15">
      <c r="A17" s="7" t="s">
        <v>12</v>
      </c>
      <c r="B17" s="7">
        <v>0.07</v>
      </c>
      <c r="C17" s="7">
        <v>0.06</v>
      </c>
      <c r="D17" s="7">
        <v>0.05</v>
      </c>
      <c r="E17" s="7">
        <v>0.03</v>
      </c>
      <c r="F17" s="7">
        <v>0.03</v>
      </c>
      <c r="G17" s="7">
        <v>0.03</v>
      </c>
      <c r="H17" s="7">
        <v>0.03</v>
      </c>
    </row>
    <row r="18" spans="1:8" ht="15">
      <c r="A18" s="7" t="s">
        <v>13</v>
      </c>
      <c r="B18" s="7">
        <v>0.06</v>
      </c>
      <c r="C18" s="7">
        <v>0.03</v>
      </c>
      <c r="D18" s="7">
        <v>0.02</v>
      </c>
      <c r="E18" s="7">
        <v>0.01</v>
      </c>
      <c r="F18" s="7">
        <v>0.01</v>
      </c>
      <c r="G18" s="7">
        <v>0.01</v>
      </c>
      <c r="H18" s="7">
        <v>0.01</v>
      </c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6" t="s">
        <v>14</v>
      </c>
      <c r="B20" s="7"/>
      <c r="C20" s="7"/>
      <c r="D20" s="7"/>
      <c r="E20" s="7"/>
      <c r="F20" s="7"/>
      <c r="G20" s="7"/>
      <c r="H20" s="7"/>
    </row>
    <row r="21" spans="1:11" ht="15">
      <c r="A21" s="7" t="s">
        <v>15</v>
      </c>
      <c r="B21" s="7">
        <v>0.2</v>
      </c>
      <c r="C21" s="7">
        <v>0.15</v>
      </c>
      <c r="D21" s="7">
        <f>C21</f>
        <v>0.15</v>
      </c>
      <c r="E21" s="7">
        <f>D21</f>
        <v>0.15</v>
      </c>
      <c r="F21" s="7">
        <f>E21</f>
        <v>0.15</v>
      </c>
      <c r="G21" s="7">
        <f>F21</f>
        <v>0.15</v>
      </c>
      <c r="H21" s="7">
        <f>G21</f>
        <v>0.15</v>
      </c>
      <c r="I21" s="7"/>
      <c r="J21" s="7"/>
      <c r="K21" s="7"/>
    </row>
    <row r="22" spans="1:8" ht="15">
      <c r="A22" s="7" t="s">
        <v>16</v>
      </c>
      <c r="B22" s="7">
        <v>0.3</v>
      </c>
      <c r="C22" s="7">
        <v>0.3</v>
      </c>
      <c r="D22" s="7">
        <v>0.3</v>
      </c>
      <c r="E22" s="7">
        <v>0.3</v>
      </c>
      <c r="F22" s="7">
        <v>0.3</v>
      </c>
      <c r="G22" s="7">
        <v>0.3</v>
      </c>
      <c r="H22" s="7">
        <v>0.3</v>
      </c>
    </row>
    <row r="23" spans="1:8" ht="15">
      <c r="A23" s="7"/>
      <c r="B23" s="7"/>
      <c r="C23" s="7"/>
      <c r="D23" s="7"/>
      <c r="E23" s="7"/>
      <c r="F23" s="7"/>
      <c r="G23" s="7"/>
      <c r="H23" s="7"/>
    </row>
    <row r="24" spans="1:8" ht="15">
      <c r="A24" s="6" t="s">
        <v>17</v>
      </c>
      <c r="B24" s="7"/>
      <c r="C24" s="7"/>
      <c r="D24" s="7"/>
      <c r="E24" s="7"/>
      <c r="F24" s="7"/>
      <c r="G24" s="7"/>
      <c r="H24" s="7"/>
    </row>
    <row r="25" spans="1:8" ht="15">
      <c r="A25" s="7" t="s">
        <v>18</v>
      </c>
      <c r="B25" s="7">
        <v>1.15</v>
      </c>
      <c r="C25" s="7">
        <f aca="true" t="shared" si="0" ref="C25:H25">B25</f>
        <v>1.15</v>
      </c>
      <c r="D25" s="7">
        <f t="shared" si="0"/>
        <v>1.15</v>
      </c>
      <c r="E25" s="7">
        <f t="shared" si="0"/>
        <v>1.15</v>
      </c>
      <c r="F25" s="7">
        <f t="shared" si="0"/>
        <v>1.15</v>
      </c>
      <c r="G25" s="7">
        <f t="shared" si="0"/>
        <v>1.15</v>
      </c>
      <c r="H25" s="7">
        <f t="shared" si="0"/>
        <v>1.15</v>
      </c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8" ht="15">
      <c r="A27" s="8" t="s">
        <v>19</v>
      </c>
      <c r="B27" s="7"/>
      <c r="C27" s="7"/>
      <c r="D27" s="7"/>
      <c r="E27" s="7"/>
      <c r="F27" s="7"/>
      <c r="G27" s="7"/>
      <c r="H27" s="7"/>
    </row>
    <row r="28" spans="1:8" ht="15">
      <c r="A28" s="7" t="s">
        <v>20</v>
      </c>
      <c r="B28" s="7">
        <v>55</v>
      </c>
      <c r="C28" s="7">
        <v>55</v>
      </c>
      <c r="D28" s="7">
        <v>60</v>
      </c>
      <c r="E28" s="7">
        <v>60</v>
      </c>
      <c r="F28" s="7">
        <v>60</v>
      </c>
      <c r="G28" s="7">
        <v>60</v>
      </c>
      <c r="H28" s="7">
        <v>60</v>
      </c>
    </row>
    <row r="29" spans="1:11" ht="15">
      <c r="A29" s="7" t="s">
        <v>21</v>
      </c>
      <c r="B29" s="7">
        <v>40</v>
      </c>
      <c r="C29" s="7">
        <v>42</v>
      </c>
      <c r="D29" s="7">
        <f>C29</f>
        <v>42</v>
      </c>
      <c r="E29" s="7">
        <f>D29</f>
        <v>42</v>
      </c>
      <c r="F29" s="7">
        <f>E29</f>
        <v>42</v>
      </c>
      <c r="G29" s="7">
        <f>F29</f>
        <v>42</v>
      </c>
      <c r="H29" s="7">
        <f>G29</f>
        <v>42</v>
      </c>
      <c r="I29" s="7"/>
      <c r="J29" s="7"/>
      <c r="K29" s="7"/>
    </row>
    <row r="30" spans="1:8" ht="15">
      <c r="A30" s="7" t="s">
        <v>22</v>
      </c>
      <c r="B30" s="7">
        <v>20</v>
      </c>
      <c r="C30" s="7">
        <v>20</v>
      </c>
      <c r="D30" s="7">
        <v>20</v>
      </c>
      <c r="E30" s="7">
        <v>20</v>
      </c>
      <c r="F30" s="7">
        <v>20</v>
      </c>
      <c r="G30" s="7">
        <v>20</v>
      </c>
      <c r="H30" s="7">
        <v>20</v>
      </c>
    </row>
    <row r="31" spans="1:8" ht="15">
      <c r="A31" s="7" t="s">
        <v>23</v>
      </c>
      <c r="B31" s="7">
        <v>80</v>
      </c>
      <c r="C31" s="7">
        <v>80</v>
      </c>
      <c r="D31" s="7">
        <v>80</v>
      </c>
      <c r="E31" s="7">
        <v>80</v>
      </c>
      <c r="F31" s="7">
        <v>80</v>
      </c>
      <c r="G31" s="7">
        <v>80</v>
      </c>
      <c r="H31" s="7">
        <v>80</v>
      </c>
    </row>
    <row r="32" spans="1:8" ht="15">
      <c r="A32" s="7"/>
      <c r="B32" s="7"/>
      <c r="C32" s="7"/>
      <c r="D32" s="7"/>
      <c r="E32" s="7"/>
      <c r="F32" s="7"/>
      <c r="G32" s="7"/>
      <c r="H32" s="7"/>
    </row>
    <row r="33" spans="1:8" ht="15">
      <c r="A33" s="6" t="s">
        <v>24</v>
      </c>
      <c r="B33" s="7"/>
      <c r="C33" s="7"/>
      <c r="D33" s="7"/>
      <c r="E33" s="7"/>
      <c r="F33" s="7"/>
      <c r="G33" s="7"/>
      <c r="H33" s="7"/>
    </row>
    <row r="34" spans="1:11" ht="15">
      <c r="A34" s="7" t="s">
        <v>25</v>
      </c>
      <c r="B34" s="7">
        <v>243</v>
      </c>
      <c r="C34" s="9">
        <f>B34*1.03</f>
        <v>250.29000000000002</v>
      </c>
      <c r="D34" s="9">
        <f>C34*1.03</f>
        <v>257.79870000000005</v>
      </c>
      <c r="E34" s="9">
        <f>D34*1.03</f>
        <v>265.5326610000001</v>
      </c>
      <c r="F34" s="9">
        <f>E34*1.03</f>
        <v>273.4986408300001</v>
      </c>
      <c r="G34" s="9">
        <f>F34</f>
        <v>273.4986408300001</v>
      </c>
      <c r="H34" s="9">
        <f>G34</f>
        <v>273.4986408300001</v>
      </c>
      <c r="I34" s="10"/>
      <c r="J34" s="10"/>
      <c r="K34" s="10"/>
    </row>
    <row r="35" spans="1:11" ht="15">
      <c r="A35" s="7" t="s">
        <v>26</v>
      </c>
      <c r="B35" s="7">
        <v>152</v>
      </c>
      <c r="C35" s="9">
        <f aca="true" t="shared" si="1" ref="C35:H35">B35*1.05</f>
        <v>159.6</v>
      </c>
      <c r="D35" s="9">
        <f t="shared" si="1"/>
        <v>167.58</v>
      </c>
      <c r="E35" s="9">
        <f t="shared" si="1"/>
        <v>175.95900000000003</v>
      </c>
      <c r="F35" s="9">
        <f t="shared" si="1"/>
        <v>184.75695000000005</v>
      </c>
      <c r="G35" s="9">
        <f t="shared" si="1"/>
        <v>193.99479750000006</v>
      </c>
      <c r="H35" s="9">
        <f t="shared" si="1"/>
        <v>203.69453737500007</v>
      </c>
      <c r="I35" s="9"/>
      <c r="J35" s="9"/>
      <c r="K35" s="9"/>
    </row>
    <row r="36" spans="1:11" ht="15">
      <c r="A36" s="7" t="s">
        <v>27</v>
      </c>
      <c r="B36" s="7">
        <v>1.4</v>
      </c>
      <c r="C36" s="7">
        <f>B36*1.2</f>
        <v>1.68</v>
      </c>
      <c r="D36" s="7">
        <f>C36*1.3</f>
        <v>2.184</v>
      </c>
      <c r="E36" s="11">
        <f>D36*1.3</f>
        <v>2.8392000000000004</v>
      </c>
      <c r="F36" s="11">
        <f>E36*1.1</f>
        <v>3.1231200000000006</v>
      </c>
      <c r="G36" s="11">
        <f>F36</f>
        <v>3.1231200000000006</v>
      </c>
      <c r="H36" s="11">
        <f>G36</f>
        <v>3.1231200000000006</v>
      </c>
      <c r="I36" s="12"/>
      <c r="J36" s="12"/>
      <c r="K36" s="12"/>
    </row>
    <row r="37" spans="1:11" ht="15">
      <c r="A37" s="7" t="s">
        <v>28</v>
      </c>
      <c r="B37" s="7">
        <v>1</v>
      </c>
      <c r="C37" s="7">
        <f>B37*1.2</f>
        <v>1.2</v>
      </c>
      <c r="D37" s="7">
        <f>C37*1.2</f>
        <v>1.44</v>
      </c>
      <c r="E37" s="11">
        <f>D37*1.2</f>
        <v>1.728</v>
      </c>
      <c r="F37" s="11">
        <f>E37*1.1</f>
        <v>1.9008</v>
      </c>
      <c r="G37" s="11">
        <f>F37</f>
        <v>1.9008</v>
      </c>
      <c r="H37" s="11">
        <f>G37</f>
        <v>1.9008</v>
      </c>
      <c r="I37" s="12"/>
      <c r="J37" s="12"/>
      <c r="K37" s="12"/>
    </row>
    <row r="38" spans="1:11" ht="15">
      <c r="A38" s="13" t="s">
        <v>29</v>
      </c>
      <c r="B38" s="14">
        <f aca="true" t="shared" si="2" ref="B38:F39">B34*B36</f>
        <v>340.2</v>
      </c>
      <c r="C38" s="15">
        <f t="shared" si="2"/>
        <v>420.48720000000003</v>
      </c>
      <c r="D38" s="15">
        <f t="shared" si="2"/>
        <v>563.0323608000001</v>
      </c>
      <c r="E38" s="15">
        <f t="shared" si="2"/>
        <v>753.9003311112003</v>
      </c>
      <c r="F38" s="15">
        <f t="shared" si="2"/>
        <v>854.1690751489901</v>
      </c>
      <c r="G38" s="15">
        <f>G34*G36</f>
        <v>854.1690751489901</v>
      </c>
      <c r="H38" s="15">
        <f>H34*H36</f>
        <v>854.1690751489901</v>
      </c>
      <c r="I38" s="16"/>
      <c r="J38" s="16"/>
      <c r="K38" s="16"/>
    </row>
    <row r="39" spans="1:11" ht="15">
      <c r="A39" s="13" t="s">
        <v>30</v>
      </c>
      <c r="B39" s="14">
        <f t="shared" si="2"/>
        <v>152</v>
      </c>
      <c r="C39" s="15">
        <f t="shared" si="2"/>
        <v>191.51999999999998</v>
      </c>
      <c r="D39" s="15">
        <f t="shared" si="2"/>
        <v>241.3152</v>
      </c>
      <c r="E39" s="15">
        <f t="shared" si="2"/>
        <v>304.05715200000003</v>
      </c>
      <c r="F39" s="15">
        <f t="shared" si="2"/>
        <v>351.1860105600001</v>
      </c>
      <c r="G39" s="15">
        <f>G35*G37</f>
        <v>368.7453110880001</v>
      </c>
      <c r="H39" s="15">
        <f>H35*H37</f>
        <v>387.18257664240014</v>
      </c>
      <c r="I39" s="16"/>
      <c r="J39" s="16"/>
      <c r="K39" s="16"/>
    </row>
    <row r="40" spans="1:8" ht="15">
      <c r="A40" s="7"/>
      <c r="B40" s="7"/>
      <c r="C40" s="7"/>
      <c r="D40" s="7"/>
      <c r="E40" s="7"/>
      <c r="F40" s="7"/>
      <c r="G40" s="7"/>
      <c r="H40" s="7"/>
    </row>
    <row r="41" spans="1:8" ht="15">
      <c r="A41" s="6" t="s">
        <v>31</v>
      </c>
      <c r="B41" s="7"/>
      <c r="C41" s="7"/>
      <c r="D41" s="7"/>
      <c r="E41" s="7"/>
      <c r="F41" s="7"/>
      <c r="G41" s="7"/>
      <c r="H41" s="7"/>
    </row>
    <row r="42" spans="1:8" ht="15">
      <c r="A42" s="7" t="s">
        <v>32</v>
      </c>
      <c r="B42" s="7">
        <v>0.1</v>
      </c>
      <c r="C42" s="7">
        <v>0.12</v>
      </c>
      <c r="D42" s="7">
        <v>0.14</v>
      </c>
      <c r="E42" s="7">
        <v>0.16</v>
      </c>
      <c r="F42" s="7">
        <f aca="true" t="shared" si="3" ref="F42:H43">E42</f>
        <v>0.16</v>
      </c>
      <c r="G42" s="7">
        <f t="shared" si="3"/>
        <v>0.16</v>
      </c>
      <c r="H42" s="7">
        <f t="shared" si="3"/>
        <v>0.16</v>
      </c>
    </row>
    <row r="43" spans="1:8" ht="15">
      <c r="A43" s="7" t="s">
        <v>33</v>
      </c>
      <c r="B43" s="7">
        <v>0.2</v>
      </c>
      <c r="C43" s="7">
        <v>0.25</v>
      </c>
      <c r="D43" s="7">
        <v>0.3</v>
      </c>
      <c r="E43" s="7">
        <v>0.3</v>
      </c>
      <c r="F43" s="7">
        <f t="shared" si="3"/>
        <v>0.3</v>
      </c>
      <c r="G43" s="7">
        <f t="shared" si="3"/>
        <v>0.3</v>
      </c>
      <c r="H43" s="7">
        <f t="shared" si="3"/>
        <v>0.3</v>
      </c>
    </row>
    <row r="44" spans="1:8" ht="15">
      <c r="A44" s="7" t="s">
        <v>34</v>
      </c>
      <c r="B44" s="7">
        <v>0.2</v>
      </c>
      <c r="C44" s="17">
        <v>0.18</v>
      </c>
      <c r="D44" s="17">
        <v>0.15</v>
      </c>
      <c r="E44" s="7">
        <v>0.13</v>
      </c>
      <c r="F44" s="7">
        <v>0.11</v>
      </c>
      <c r="G44" s="7">
        <f>F44</f>
        <v>0.11</v>
      </c>
      <c r="H44" s="7">
        <f>G44</f>
        <v>0.11</v>
      </c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1:8" ht="15">
      <c r="A46" s="6" t="s">
        <v>35</v>
      </c>
      <c r="B46" s="7"/>
      <c r="C46" s="7"/>
      <c r="D46" s="7"/>
      <c r="E46" s="7"/>
      <c r="F46" s="7"/>
      <c r="G46" s="7"/>
      <c r="H46" s="7"/>
    </row>
    <row r="47" spans="1:8" ht="15">
      <c r="A47" s="18" t="s">
        <v>36</v>
      </c>
      <c r="B47" s="7"/>
      <c r="C47" s="7"/>
      <c r="D47" s="7"/>
      <c r="E47" s="7"/>
      <c r="F47" s="7"/>
      <c r="G47" s="7"/>
      <c r="H47" s="7"/>
    </row>
    <row r="48" spans="1:11" ht="15">
      <c r="A48" s="7" t="s">
        <v>37</v>
      </c>
      <c r="B48" s="19">
        <v>3.25</v>
      </c>
      <c r="C48" s="19">
        <f aca="true" t="shared" si="4" ref="C48:H55">B48*B$61</f>
        <v>3.25</v>
      </c>
      <c r="D48" s="19">
        <f t="shared" si="4"/>
        <v>3.25</v>
      </c>
      <c r="E48" s="19">
        <f t="shared" si="4"/>
        <v>3.25</v>
      </c>
      <c r="F48" s="19">
        <f t="shared" si="4"/>
        <v>3.25</v>
      </c>
      <c r="G48" s="19">
        <f t="shared" si="4"/>
        <v>3.25</v>
      </c>
      <c r="H48" s="19">
        <f t="shared" si="4"/>
        <v>3.25</v>
      </c>
      <c r="I48" s="19"/>
      <c r="J48" s="19"/>
      <c r="K48" s="19"/>
    </row>
    <row r="49" spans="1:11" ht="15">
      <c r="A49" s="7" t="s">
        <v>38</v>
      </c>
      <c r="B49" s="19">
        <v>20</v>
      </c>
      <c r="C49" s="19">
        <f t="shared" si="4"/>
        <v>20</v>
      </c>
      <c r="D49" s="19">
        <f t="shared" si="4"/>
        <v>20</v>
      </c>
      <c r="E49" s="19">
        <f t="shared" si="4"/>
        <v>20</v>
      </c>
      <c r="F49" s="19">
        <f t="shared" si="4"/>
        <v>20</v>
      </c>
      <c r="G49" s="19">
        <f t="shared" si="4"/>
        <v>20</v>
      </c>
      <c r="H49" s="19">
        <f t="shared" si="4"/>
        <v>20</v>
      </c>
      <c r="I49" s="19"/>
      <c r="J49" s="19"/>
      <c r="K49" s="19"/>
    </row>
    <row r="50" spans="1:11" ht="15">
      <c r="A50" s="7" t="s">
        <v>39</v>
      </c>
      <c r="B50" s="19">
        <v>60</v>
      </c>
      <c r="C50" s="19">
        <f t="shared" si="4"/>
        <v>60</v>
      </c>
      <c r="D50" s="19">
        <f t="shared" si="4"/>
        <v>60</v>
      </c>
      <c r="E50" s="19">
        <f t="shared" si="4"/>
        <v>60</v>
      </c>
      <c r="F50" s="19">
        <f t="shared" si="4"/>
        <v>60</v>
      </c>
      <c r="G50" s="19">
        <f t="shared" si="4"/>
        <v>60</v>
      </c>
      <c r="H50" s="19">
        <f t="shared" si="4"/>
        <v>60</v>
      </c>
      <c r="I50" s="19"/>
      <c r="J50" s="19"/>
      <c r="K50" s="19"/>
    </row>
    <row r="51" spans="1:11" ht="15">
      <c r="A51" s="7" t="s">
        <v>40</v>
      </c>
      <c r="B51" s="19">
        <v>200</v>
      </c>
      <c r="C51" s="19">
        <f t="shared" si="4"/>
        <v>200</v>
      </c>
      <c r="D51" s="19">
        <f t="shared" si="4"/>
        <v>200</v>
      </c>
      <c r="E51" s="19">
        <f t="shared" si="4"/>
        <v>200</v>
      </c>
      <c r="F51" s="19">
        <f t="shared" si="4"/>
        <v>200</v>
      </c>
      <c r="G51" s="19">
        <f t="shared" si="4"/>
        <v>200</v>
      </c>
      <c r="H51" s="19">
        <f t="shared" si="4"/>
        <v>200</v>
      </c>
      <c r="I51" s="19"/>
      <c r="J51" s="19"/>
      <c r="K51" s="19"/>
    </row>
    <row r="52" spans="1:11" ht="15">
      <c r="A52" s="7" t="s">
        <v>41</v>
      </c>
      <c r="B52" s="19">
        <f>12*B28</f>
        <v>660</v>
      </c>
      <c r="C52" s="19">
        <f t="shared" si="4"/>
        <v>660</v>
      </c>
      <c r="D52" s="19">
        <f t="shared" si="4"/>
        <v>660</v>
      </c>
      <c r="E52" s="19">
        <f t="shared" si="4"/>
        <v>660</v>
      </c>
      <c r="F52" s="19">
        <f t="shared" si="4"/>
        <v>660</v>
      </c>
      <c r="G52" s="19">
        <f t="shared" si="4"/>
        <v>660</v>
      </c>
      <c r="H52" s="19">
        <f t="shared" si="4"/>
        <v>660</v>
      </c>
      <c r="I52" s="19"/>
      <c r="J52" s="19"/>
      <c r="K52" s="19"/>
    </row>
    <row r="53" spans="1:11" ht="15">
      <c r="A53" s="7" t="s">
        <v>42</v>
      </c>
      <c r="B53" s="19">
        <f>12*B31</f>
        <v>960</v>
      </c>
      <c r="C53" s="19">
        <f t="shared" si="4"/>
        <v>960</v>
      </c>
      <c r="D53" s="19">
        <f t="shared" si="4"/>
        <v>960</v>
      </c>
      <c r="E53" s="19">
        <f t="shared" si="4"/>
        <v>960</v>
      </c>
      <c r="F53" s="19">
        <f t="shared" si="4"/>
        <v>960</v>
      </c>
      <c r="G53" s="19">
        <f t="shared" si="4"/>
        <v>960</v>
      </c>
      <c r="H53" s="19">
        <f t="shared" si="4"/>
        <v>960</v>
      </c>
      <c r="I53" s="19"/>
      <c r="J53" s="19"/>
      <c r="K53" s="19"/>
    </row>
    <row r="54" spans="1:11" ht="15">
      <c r="A54" s="7" t="s">
        <v>43</v>
      </c>
      <c r="B54" s="19">
        <v>3000</v>
      </c>
      <c r="C54" s="19">
        <f t="shared" si="4"/>
        <v>3000</v>
      </c>
      <c r="D54" s="19">
        <f t="shared" si="4"/>
        <v>3000</v>
      </c>
      <c r="E54" s="19">
        <f t="shared" si="4"/>
        <v>3000</v>
      </c>
      <c r="F54" s="19">
        <f t="shared" si="4"/>
        <v>3000</v>
      </c>
      <c r="G54" s="19">
        <f t="shared" si="4"/>
        <v>3000</v>
      </c>
      <c r="H54" s="19">
        <f t="shared" si="4"/>
        <v>3000</v>
      </c>
      <c r="I54" s="19"/>
      <c r="J54" s="19"/>
      <c r="K54" s="19"/>
    </row>
    <row r="55" spans="1:11" ht="15">
      <c r="A55" s="7" t="s">
        <v>44</v>
      </c>
      <c r="B55" s="19">
        <v>2500</v>
      </c>
      <c r="C55" s="19">
        <f t="shared" si="4"/>
        <v>2500</v>
      </c>
      <c r="D55" s="19">
        <f t="shared" si="4"/>
        <v>2500</v>
      </c>
      <c r="E55" s="19">
        <f t="shared" si="4"/>
        <v>2500</v>
      </c>
      <c r="F55" s="19">
        <f t="shared" si="4"/>
        <v>2500</v>
      </c>
      <c r="G55" s="19">
        <f t="shared" si="4"/>
        <v>2500</v>
      </c>
      <c r="H55" s="19">
        <f t="shared" si="4"/>
        <v>2500</v>
      </c>
      <c r="I55" s="19"/>
      <c r="J55" s="19"/>
      <c r="K55" s="19"/>
    </row>
    <row r="56" spans="1:11" ht="15">
      <c r="A56" s="7" t="s">
        <v>45</v>
      </c>
      <c r="B56" s="7">
        <v>2.6</v>
      </c>
      <c r="C56" s="17">
        <f aca="true" t="shared" si="5" ref="C56:H56">B56*B61</f>
        <v>2.6</v>
      </c>
      <c r="D56" s="17">
        <f t="shared" si="5"/>
        <v>2.6</v>
      </c>
      <c r="E56" s="17">
        <f t="shared" si="5"/>
        <v>2.6</v>
      </c>
      <c r="F56" s="17">
        <f t="shared" si="5"/>
        <v>2.6</v>
      </c>
      <c r="G56" s="17">
        <f t="shared" si="5"/>
        <v>2.6</v>
      </c>
      <c r="H56" s="17">
        <f t="shared" si="5"/>
        <v>2.6</v>
      </c>
      <c r="I56" s="20"/>
      <c r="J56" s="20"/>
      <c r="K56" s="20"/>
    </row>
    <row r="57" spans="1:11" ht="15">
      <c r="A57" s="21" t="s">
        <v>46</v>
      </c>
      <c r="B57" s="19">
        <f aca="true" t="shared" si="6" ref="B57:H57">(B55-B52)/(1/B21)</f>
        <v>368</v>
      </c>
      <c r="C57" s="19">
        <f t="shared" si="6"/>
        <v>276</v>
      </c>
      <c r="D57" s="19">
        <f t="shared" si="6"/>
        <v>276</v>
      </c>
      <c r="E57" s="19">
        <f t="shared" si="6"/>
        <v>276</v>
      </c>
      <c r="F57" s="19">
        <f t="shared" si="6"/>
        <v>276</v>
      </c>
      <c r="G57" s="19">
        <f t="shared" si="6"/>
        <v>276</v>
      </c>
      <c r="H57" s="19">
        <f t="shared" si="6"/>
        <v>276</v>
      </c>
      <c r="I57" s="19"/>
      <c r="J57" s="19"/>
      <c r="K57" s="19"/>
    </row>
    <row r="58" spans="1:11" ht="15">
      <c r="A58" s="21" t="s">
        <v>47</v>
      </c>
      <c r="B58" s="19">
        <f aca="true" t="shared" si="7" ref="B58:H58">(B54-B53)/(1/B22)</f>
        <v>612</v>
      </c>
      <c r="C58" s="19">
        <f t="shared" si="7"/>
        <v>612</v>
      </c>
      <c r="D58" s="19">
        <f t="shared" si="7"/>
        <v>612</v>
      </c>
      <c r="E58" s="19">
        <f t="shared" si="7"/>
        <v>612</v>
      </c>
      <c r="F58" s="19">
        <f t="shared" si="7"/>
        <v>612</v>
      </c>
      <c r="G58" s="19">
        <f t="shared" si="7"/>
        <v>612</v>
      </c>
      <c r="H58" s="19">
        <f t="shared" si="7"/>
        <v>612</v>
      </c>
      <c r="I58" s="19"/>
      <c r="J58" s="19"/>
      <c r="K58" s="19"/>
    </row>
    <row r="59" spans="1:11" ht="15">
      <c r="A59" s="7" t="s">
        <v>48</v>
      </c>
      <c r="B59" s="19">
        <v>6</v>
      </c>
      <c r="C59" s="19">
        <f aca="true" t="shared" si="8" ref="C59:H60">B59*B$61</f>
        <v>6</v>
      </c>
      <c r="D59" s="19">
        <f t="shared" si="8"/>
        <v>6</v>
      </c>
      <c r="E59" s="19">
        <f t="shared" si="8"/>
        <v>6</v>
      </c>
      <c r="F59" s="19">
        <f t="shared" si="8"/>
        <v>6</v>
      </c>
      <c r="G59" s="19">
        <f t="shared" si="8"/>
        <v>6</v>
      </c>
      <c r="H59" s="19">
        <f t="shared" si="8"/>
        <v>6</v>
      </c>
      <c r="I59" s="19"/>
      <c r="J59" s="19"/>
      <c r="K59" s="19"/>
    </row>
    <row r="60" spans="1:11" ht="15">
      <c r="A60" s="7" t="s">
        <v>49</v>
      </c>
      <c r="B60" s="19">
        <v>12</v>
      </c>
      <c r="C60" s="19">
        <f t="shared" si="8"/>
        <v>12</v>
      </c>
      <c r="D60" s="19">
        <f t="shared" si="8"/>
        <v>12</v>
      </c>
      <c r="E60" s="19">
        <f t="shared" si="8"/>
        <v>12</v>
      </c>
      <c r="F60" s="19">
        <f t="shared" si="8"/>
        <v>12</v>
      </c>
      <c r="G60" s="19">
        <f t="shared" si="8"/>
        <v>12</v>
      </c>
      <c r="H60" s="19">
        <f t="shared" si="8"/>
        <v>12</v>
      </c>
      <c r="I60" s="19"/>
      <c r="J60" s="19"/>
      <c r="K60" s="19"/>
    </row>
    <row r="61" spans="1:11" ht="15">
      <c r="A61" s="7" t="s">
        <v>50</v>
      </c>
      <c r="B61" s="19">
        <v>1</v>
      </c>
      <c r="C61" s="19">
        <f aca="true" t="shared" si="9" ref="C61:H61">B61</f>
        <v>1</v>
      </c>
      <c r="D61" s="19">
        <f t="shared" si="9"/>
        <v>1</v>
      </c>
      <c r="E61" s="19">
        <f t="shared" si="9"/>
        <v>1</v>
      </c>
      <c r="F61" s="19">
        <f t="shared" si="9"/>
        <v>1</v>
      </c>
      <c r="G61" s="19">
        <f t="shared" si="9"/>
        <v>1</v>
      </c>
      <c r="H61" s="19">
        <f t="shared" si="9"/>
        <v>1</v>
      </c>
      <c r="I61" s="19"/>
      <c r="J61" s="19"/>
      <c r="K61" s="19"/>
    </row>
    <row r="62" spans="1:3" ht="15">
      <c r="A62" s="7"/>
      <c r="B62" s="7"/>
      <c r="C62" s="7"/>
    </row>
    <row r="63" spans="1:3" ht="15">
      <c r="A63" s="7"/>
      <c r="B63" s="7"/>
      <c r="C63" s="7"/>
    </row>
    <row r="64" spans="1:3" ht="15">
      <c r="A64" s="22" t="s">
        <v>51</v>
      </c>
      <c r="B64" s="7"/>
      <c r="C64" s="7"/>
    </row>
    <row r="65" spans="1:3" ht="15">
      <c r="A65" s="7"/>
      <c r="B65" s="7"/>
      <c r="C65" s="7"/>
    </row>
    <row r="66" spans="1:11" ht="15">
      <c r="A66" s="7" t="s">
        <v>23</v>
      </c>
      <c r="B66" s="7">
        <v>4</v>
      </c>
      <c r="C66" s="9">
        <f aca="true" t="shared" si="10" ref="C66:H66">B66*(1-B22)*(1-B18)+B78</f>
        <v>2.6319999999999997</v>
      </c>
      <c r="D66" s="9">
        <f t="shared" si="10"/>
        <v>1.7871279999999996</v>
      </c>
      <c r="E66" s="9">
        <f t="shared" si="10"/>
        <v>4.204870051386667</v>
      </c>
      <c r="F66" s="9">
        <f t="shared" si="10"/>
        <v>4.570832423108762</v>
      </c>
      <c r="G66" s="9">
        <f t="shared" si="10"/>
        <v>5.6149136850947565</v>
      </c>
      <c r="H66" s="9">
        <f t="shared" si="10"/>
        <v>6.296522230412133</v>
      </c>
      <c r="I66" s="10"/>
      <c r="J66" s="10"/>
      <c r="K66" s="10"/>
    </row>
    <row r="67" spans="1:11" ht="15">
      <c r="A67" s="7" t="s">
        <v>20</v>
      </c>
      <c r="B67" s="7">
        <v>87</v>
      </c>
      <c r="C67" s="9">
        <f aca="true" t="shared" si="11" ref="C67:H67">(B67*(1-B21)*(1-B18))+(B68*(1-B21)*(1-B17)-B75)+B76</f>
        <v>78.072</v>
      </c>
      <c r="D67" s="9">
        <f t="shared" si="11"/>
        <v>100.64708422999999</v>
      </c>
      <c r="E67" s="9">
        <f t="shared" si="11"/>
        <v>112.58268754230699</v>
      </c>
      <c r="F67" s="9">
        <f t="shared" si="11"/>
        <v>129.2229102486425</v>
      </c>
      <c r="G67" s="9">
        <f t="shared" si="11"/>
        <v>147.142831080949</v>
      </c>
      <c r="H67" s="9">
        <f t="shared" si="11"/>
        <v>169.45569227578486</v>
      </c>
      <c r="I67" s="9"/>
      <c r="J67" s="9"/>
      <c r="K67" s="9"/>
    </row>
    <row r="68" spans="1:11" ht="15">
      <c r="A68" s="7" t="s">
        <v>21</v>
      </c>
      <c r="B68" s="7">
        <v>17</v>
      </c>
      <c r="C68" s="9">
        <f aca="true" t="shared" si="12" ref="C68:H68">B71*(1-B16)</f>
        <v>26.125770000000006</v>
      </c>
      <c r="D68" s="9">
        <f t="shared" si="12"/>
        <v>42.333763071599996</v>
      </c>
      <c r="E68" s="9">
        <f t="shared" si="12"/>
        <v>63.26913832422704</v>
      </c>
      <c r="F68" s="9">
        <f t="shared" si="12"/>
        <v>81.3218669210319</v>
      </c>
      <c r="G68" s="9">
        <f t="shared" si="12"/>
        <v>93.46619087113774</v>
      </c>
      <c r="H68" s="9">
        <f t="shared" si="12"/>
        <v>107.16665414675003</v>
      </c>
      <c r="I68" s="9"/>
      <c r="J68" s="9"/>
      <c r="K68" s="9"/>
    </row>
    <row r="69" spans="1:11" ht="15">
      <c r="A69" s="7" t="s">
        <v>52</v>
      </c>
      <c r="B69" s="9">
        <f>(B67*B8*B10+B68*B9*B11)/2</f>
        <v>34.92750000000001</v>
      </c>
      <c r="C69" s="9">
        <f aca="true" t="shared" si="13" ref="C69:H69">(C67*C8*C10+(C68-C75)*C9*C11)/2</f>
        <v>52.8643395</v>
      </c>
      <c r="D69" s="9">
        <f t="shared" si="13"/>
        <v>76.41200280703748</v>
      </c>
      <c r="E69" s="9">
        <f t="shared" si="13"/>
        <v>94.0680936044325</v>
      </c>
      <c r="F69" s="9">
        <f t="shared" si="13"/>
        <v>108.11589458778224</v>
      </c>
      <c r="G69" s="9">
        <f t="shared" si="13"/>
        <v>123.9637410604396</v>
      </c>
      <c r="H69" s="9">
        <f t="shared" si="13"/>
        <v>142.61926494401067</v>
      </c>
      <c r="I69" s="10"/>
      <c r="J69" s="10"/>
      <c r="K69" s="10"/>
    </row>
    <row r="70" spans="1:11" ht="15">
      <c r="A70" s="7" t="s">
        <v>53</v>
      </c>
      <c r="B70" s="9">
        <f>(B67*B8*B10+B68*B9*B11)/2</f>
        <v>34.92750000000001</v>
      </c>
      <c r="C70" s="9">
        <f aca="true" t="shared" si="14" ref="C70:H70">(C67*C8*C10+(C68-C75)*C9*C11)/2</f>
        <v>52.8643395</v>
      </c>
      <c r="D70" s="9">
        <f t="shared" si="14"/>
        <v>76.41200280703748</v>
      </c>
      <c r="E70" s="9">
        <f t="shared" si="14"/>
        <v>94.0680936044325</v>
      </c>
      <c r="F70" s="9">
        <f t="shared" si="14"/>
        <v>108.11589458778224</v>
      </c>
      <c r="G70" s="9">
        <f t="shared" si="14"/>
        <v>123.9637410604396</v>
      </c>
      <c r="H70" s="9">
        <f t="shared" si="14"/>
        <v>142.61926494401067</v>
      </c>
      <c r="I70" s="10"/>
      <c r="J70" s="10"/>
      <c r="K70" s="10"/>
    </row>
    <row r="71" spans="1:11" ht="15">
      <c r="A71" s="7" t="s">
        <v>54</v>
      </c>
      <c r="B71" s="9">
        <f aca="true" t="shared" si="15" ref="B71:H71">B70*(1-B15)</f>
        <v>29.688375000000008</v>
      </c>
      <c r="C71" s="9">
        <f t="shared" si="15"/>
        <v>46.52061876</v>
      </c>
      <c r="D71" s="9">
        <f t="shared" si="15"/>
        <v>68.77080252633374</v>
      </c>
      <c r="E71" s="9">
        <f t="shared" si="15"/>
        <v>85.60196518003359</v>
      </c>
      <c r="F71" s="9">
        <f t="shared" si="15"/>
        <v>98.38546407488184</v>
      </c>
      <c r="G71" s="9">
        <f t="shared" si="15"/>
        <v>112.80700436500004</v>
      </c>
      <c r="H71" s="9">
        <f t="shared" si="15"/>
        <v>129.78353109904972</v>
      </c>
      <c r="I71" s="10"/>
      <c r="J71" s="10"/>
      <c r="K71" s="10"/>
    </row>
    <row r="72" spans="1:11" ht="15">
      <c r="A72" s="7" t="s">
        <v>55</v>
      </c>
      <c r="B72" s="7">
        <f aca="true" t="shared" si="16" ref="B72:H72">B67+B68</f>
        <v>104</v>
      </c>
      <c r="C72" s="9">
        <f t="shared" si="16"/>
        <v>104.19777</v>
      </c>
      <c r="D72" s="9">
        <f t="shared" si="16"/>
        <v>142.9808473016</v>
      </c>
      <c r="E72" s="9">
        <f t="shared" si="16"/>
        <v>175.85182586653403</v>
      </c>
      <c r="F72" s="9">
        <f t="shared" si="16"/>
        <v>210.5447771696744</v>
      </c>
      <c r="G72" s="9">
        <f t="shared" si="16"/>
        <v>240.60902195208675</v>
      </c>
      <c r="H72" s="9">
        <f t="shared" si="16"/>
        <v>276.62234642253486</v>
      </c>
      <c r="I72" s="10"/>
      <c r="J72" s="10"/>
      <c r="K72" s="10"/>
    </row>
    <row r="73" spans="1:11" ht="15">
      <c r="A73" s="7" t="s">
        <v>56</v>
      </c>
      <c r="B73" s="9">
        <f aca="true" t="shared" si="17" ref="B73:H73">B66+B67+B68+B71</f>
        <v>137.688375</v>
      </c>
      <c r="C73" s="9">
        <f t="shared" si="17"/>
        <v>153.35038876000002</v>
      </c>
      <c r="D73" s="9">
        <f t="shared" si="17"/>
        <v>213.53877782793373</v>
      </c>
      <c r="E73" s="9">
        <f t="shared" si="17"/>
        <v>265.6586610979543</v>
      </c>
      <c r="F73" s="9">
        <f t="shared" si="17"/>
        <v>313.50107366766497</v>
      </c>
      <c r="G73" s="9">
        <f t="shared" si="17"/>
        <v>359.0309400021815</v>
      </c>
      <c r="H73" s="9">
        <f t="shared" si="17"/>
        <v>412.7023997519967</v>
      </c>
      <c r="I73" s="10"/>
      <c r="J73" s="10"/>
      <c r="K73" s="10"/>
    </row>
    <row r="74" spans="1:11" ht="15">
      <c r="A74" s="7" t="s">
        <v>57</v>
      </c>
      <c r="B74" s="7">
        <f>B72</f>
        <v>104</v>
      </c>
      <c r="C74" s="9">
        <f aca="true" t="shared" si="18" ref="C74:H74">B74*B25</f>
        <v>119.6</v>
      </c>
      <c r="D74" s="9">
        <f t="shared" si="18"/>
        <v>137.54</v>
      </c>
      <c r="E74" s="9">
        <f t="shared" si="18"/>
        <v>158.171</v>
      </c>
      <c r="F74" s="9">
        <f t="shared" si="18"/>
        <v>181.89664999999997</v>
      </c>
      <c r="G74" s="9">
        <f t="shared" si="18"/>
        <v>209.18114749999995</v>
      </c>
      <c r="H74" s="9">
        <f t="shared" si="18"/>
        <v>240.55831962499994</v>
      </c>
      <c r="I74" s="10"/>
      <c r="J74" s="10"/>
      <c r="K74" s="10"/>
    </row>
    <row r="75" spans="1:11" ht="15">
      <c r="A75" s="7" t="s">
        <v>58</v>
      </c>
      <c r="B75" s="7"/>
      <c r="C75" s="9">
        <f aca="true" t="shared" si="19" ref="C75:H75">IF(C72&gt;=C74,C72-C74,0)</f>
        <v>0</v>
      </c>
      <c r="D75" s="9">
        <f t="shared" si="19"/>
        <v>5.440847301600002</v>
      </c>
      <c r="E75" s="9">
        <f t="shared" si="19"/>
        <v>17.680825866534036</v>
      </c>
      <c r="F75" s="9">
        <f t="shared" si="19"/>
        <v>28.64812716967444</v>
      </c>
      <c r="G75" s="9">
        <f t="shared" si="19"/>
        <v>31.427874452086797</v>
      </c>
      <c r="H75" s="9">
        <f t="shared" si="19"/>
        <v>36.06402679753492</v>
      </c>
      <c r="I75" s="10"/>
      <c r="J75" s="10"/>
      <c r="K75" s="10"/>
    </row>
    <row r="76" spans="1:11" ht="15">
      <c r="A76" s="7" t="s">
        <v>59</v>
      </c>
      <c r="B76" s="7"/>
      <c r="C76" s="9">
        <f aca="true" t="shared" si="20" ref="C76:H76">IF(C74&gt;=C72,C74-C72,0)</f>
        <v>15.402229999999989</v>
      </c>
      <c r="D76" s="9">
        <f t="shared" si="20"/>
        <v>0</v>
      </c>
      <c r="E76" s="9">
        <f t="shared" si="20"/>
        <v>0</v>
      </c>
      <c r="F76" s="9">
        <f t="shared" si="20"/>
        <v>0</v>
      </c>
      <c r="G76" s="9">
        <f t="shared" si="20"/>
        <v>0</v>
      </c>
      <c r="H76" s="9">
        <f t="shared" si="20"/>
        <v>0</v>
      </c>
      <c r="I76" s="10"/>
      <c r="J76" s="10"/>
      <c r="K76" s="10"/>
    </row>
    <row r="77" spans="1:11" ht="15">
      <c r="A77" s="7" t="s">
        <v>60</v>
      </c>
      <c r="B77" s="7"/>
      <c r="C77" s="9">
        <f aca="true" t="shared" si="21" ref="C77:H77">C72/C12</f>
        <v>3.473259</v>
      </c>
      <c r="D77" s="9">
        <f t="shared" si="21"/>
        <v>4.766028243386667</v>
      </c>
      <c r="E77" s="9">
        <f t="shared" si="21"/>
        <v>5.861727528884468</v>
      </c>
      <c r="F77" s="9">
        <f t="shared" si="21"/>
        <v>7.0181592389891465</v>
      </c>
      <c r="G77" s="9">
        <f t="shared" si="21"/>
        <v>8.020300731736224</v>
      </c>
      <c r="H77" s="9">
        <f t="shared" si="21"/>
        <v>9.220744880751162</v>
      </c>
      <c r="I77" s="10"/>
      <c r="J77" s="10"/>
      <c r="K77" s="10"/>
    </row>
    <row r="78" spans="1:11" ht="15">
      <c r="A78" s="7" t="s">
        <v>61</v>
      </c>
      <c r="B78" s="7"/>
      <c r="C78" s="7">
        <f aca="true" t="shared" si="22" ref="C78:H78">IF(ROUND(C77,0)&gt;ROUND(C66,0),C77-C66,0)</f>
        <v>0</v>
      </c>
      <c r="D78" s="9">
        <f t="shared" si="22"/>
        <v>2.978900243386667</v>
      </c>
      <c r="E78" s="9">
        <f t="shared" si="22"/>
        <v>1.6568574774978009</v>
      </c>
      <c r="F78" s="9">
        <f t="shared" si="22"/>
        <v>2.447326815880385</v>
      </c>
      <c r="G78" s="9">
        <f t="shared" si="22"/>
        <v>2.4053870466414677</v>
      </c>
      <c r="H78" s="9">
        <f t="shared" si="22"/>
        <v>2.924222650339029</v>
      </c>
      <c r="I78" s="10"/>
      <c r="J78" s="10"/>
      <c r="K78" s="10"/>
    </row>
    <row r="79" spans="1:3" ht="15">
      <c r="A79" s="7"/>
      <c r="B79" s="7"/>
      <c r="C79" s="7"/>
    </row>
    <row r="80" spans="1:3" ht="15">
      <c r="A80" s="7" t="s">
        <v>62</v>
      </c>
      <c r="B80" s="7"/>
      <c r="C80" s="7"/>
    </row>
    <row r="81" spans="1:11" ht="15">
      <c r="A81" s="7" t="s">
        <v>63</v>
      </c>
      <c r="B81" s="9">
        <f aca="true" t="shared" si="23" ref="B81:H81">B72*B21</f>
        <v>20.8</v>
      </c>
      <c r="C81" s="9">
        <f t="shared" si="23"/>
        <v>15.6296655</v>
      </c>
      <c r="D81" s="9">
        <f t="shared" si="23"/>
        <v>21.44712709524</v>
      </c>
      <c r="E81" s="9">
        <f t="shared" si="23"/>
        <v>26.377773879980104</v>
      </c>
      <c r="F81" s="9">
        <f t="shared" si="23"/>
        <v>31.58171657545116</v>
      </c>
      <c r="G81" s="9">
        <f t="shared" si="23"/>
        <v>36.09135329281301</v>
      </c>
      <c r="H81" s="9">
        <f t="shared" si="23"/>
        <v>41.49335196338023</v>
      </c>
      <c r="I81" s="10"/>
      <c r="J81" s="10"/>
      <c r="K81" s="10"/>
    </row>
    <row r="82" spans="1:11" ht="15">
      <c r="A82" s="7" t="s">
        <v>23</v>
      </c>
      <c r="B82" s="9">
        <f aca="true" t="shared" si="24" ref="B82:H82">B66*B22</f>
        <v>1.2</v>
      </c>
      <c r="C82" s="9">
        <f t="shared" si="24"/>
        <v>0.7895999999999999</v>
      </c>
      <c r="D82" s="9">
        <f t="shared" si="24"/>
        <v>0.5361383999999999</v>
      </c>
      <c r="E82" s="9">
        <f t="shared" si="24"/>
        <v>1.261461015416</v>
      </c>
      <c r="F82" s="9">
        <f t="shared" si="24"/>
        <v>1.3712497269326285</v>
      </c>
      <c r="G82" s="9">
        <f t="shared" si="24"/>
        <v>1.684474105528427</v>
      </c>
      <c r="H82" s="9">
        <f t="shared" si="24"/>
        <v>1.88895666912364</v>
      </c>
      <c r="I82" s="10"/>
      <c r="J82" s="10"/>
      <c r="K82" s="10"/>
    </row>
    <row r="83" spans="1:8" ht="15">
      <c r="A83" s="7"/>
      <c r="B83" s="7"/>
      <c r="C83" s="7"/>
      <c r="D83" s="7"/>
      <c r="E83" s="7"/>
      <c r="F83" s="7"/>
      <c r="G83" s="7"/>
      <c r="H83" s="7"/>
    </row>
    <row r="84" spans="1:8" ht="15">
      <c r="A84" s="7" t="s">
        <v>64</v>
      </c>
      <c r="B84" s="7"/>
      <c r="C84" s="7"/>
      <c r="D84" s="7"/>
      <c r="E84" s="7"/>
      <c r="F84" s="7"/>
      <c r="G84" s="7"/>
      <c r="H84" s="7"/>
    </row>
    <row r="85" spans="1:11" ht="15">
      <c r="A85" s="7" t="s">
        <v>20</v>
      </c>
      <c r="B85" s="23">
        <f aca="true" t="shared" si="25" ref="B85:H86">B67*B8*B38</f>
        <v>19238.31</v>
      </c>
      <c r="C85" s="23">
        <f t="shared" si="25"/>
        <v>26262.621342720005</v>
      </c>
      <c r="D85" s="23">
        <f t="shared" si="25"/>
        <v>48167.430625405344</v>
      </c>
      <c r="E85" s="23">
        <f t="shared" si="25"/>
        <v>75539.7516198253</v>
      </c>
      <c r="F85" s="23">
        <f t="shared" si="25"/>
        <v>98236.6102242781</v>
      </c>
      <c r="G85" s="23">
        <f t="shared" si="25"/>
        <v>111859.52178590429</v>
      </c>
      <c r="H85" s="23">
        <f t="shared" si="25"/>
        <v>128821.99263544574</v>
      </c>
      <c r="I85" s="24"/>
      <c r="J85" s="24"/>
      <c r="K85" s="24"/>
    </row>
    <row r="86" spans="1:11" ht="15">
      <c r="A86" s="7" t="s">
        <v>21</v>
      </c>
      <c r="B86" s="23">
        <f t="shared" si="25"/>
        <v>1292</v>
      </c>
      <c r="C86" s="23">
        <f t="shared" si="25"/>
        <v>3502.5252292800005</v>
      </c>
      <c r="D86" s="23">
        <f t="shared" si="25"/>
        <v>7968.308791853099</v>
      </c>
      <c r="E86" s="23">
        <f t="shared" si="25"/>
        <v>15967.07022693758</v>
      </c>
      <c r="F86" s="23">
        <f t="shared" si="25"/>
        <v>23704.0546726894</v>
      </c>
      <c r="G86" s="23">
        <f t="shared" si="25"/>
        <v>28606.13229206011</v>
      </c>
      <c r="H86" s="23">
        <f t="shared" si="25"/>
        <v>34439.24086462742</v>
      </c>
      <c r="I86" s="24"/>
      <c r="J86" s="24"/>
      <c r="K86" s="24"/>
    </row>
    <row r="87" spans="1:11" ht="15">
      <c r="A87" s="7" t="s">
        <v>65</v>
      </c>
      <c r="B87" s="23">
        <f aca="true" t="shared" si="26" ref="B87:H87">SUM(B85:B86)</f>
        <v>20530.31</v>
      </c>
      <c r="C87" s="23">
        <f t="shared" si="26"/>
        <v>29765.146572000005</v>
      </c>
      <c r="D87" s="23">
        <f t="shared" si="26"/>
        <v>56135.739417258446</v>
      </c>
      <c r="E87" s="23">
        <f t="shared" si="26"/>
        <v>91506.82184676288</v>
      </c>
      <c r="F87" s="23">
        <f t="shared" si="26"/>
        <v>121940.6648969675</v>
      </c>
      <c r="G87" s="23">
        <f t="shared" si="26"/>
        <v>140465.6540779644</v>
      </c>
      <c r="H87" s="23">
        <f t="shared" si="26"/>
        <v>163261.23350007317</v>
      </c>
      <c r="I87" s="24"/>
      <c r="J87" s="24"/>
      <c r="K87" s="24"/>
    </row>
    <row r="88" spans="1:11" ht="15">
      <c r="A88" s="7" t="s">
        <v>66</v>
      </c>
      <c r="B88" s="25">
        <f aca="true" t="shared" si="27" ref="B88:H88">B87*B42</f>
        <v>2053.0310000000004</v>
      </c>
      <c r="C88" s="25">
        <f t="shared" si="27"/>
        <v>3571.8175886400004</v>
      </c>
      <c r="D88" s="25">
        <f t="shared" si="27"/>
        <v>7859.003518416183</v>
      </c>
      <c r="E88" s="25">
        <f t="shared" si="27"/>
        <v>14641.09149548206</v>
      </c>
      <c r="F88" s="25">
        <f t="shared" si="27"/>
        <v>19510.5063835148</v>
      </c>
      <c r="G88" s="25">
        <f t="shared" si="27"/>
        <v>22474.504652474305</v>
      </c>
      <c r="H88" s="25">
        <f t="shared" si="27"/>
        <v>26121.797360011707</v>
      </c>
      <c r="I88" s="26"/>
      <c r="J88" s="26"/>
      <c r="K88" s="26"/>
    </row>
    <row r="89" spans="1:11" ht="15">
      <c r="A89" s="7" t="s">
        <v>67</v>
      </c>
      <c r="B89" s="25">
        <f aca="true" t="shared" si="28" ref="B89:H89">B88/0.15</f>
        <v>13686.873333333337</v>
      </c>
      <c r="C89" s="25">
        <f t="shared" si="28"/>
        <v>23812.117257600003</v>
      </c>
      <c r="D89" s="25">
        <f t="shared" si="28"/>
        <v>52393.356789441226</v>
      </c>
      <c r="E89" s="25">
        <f t="shared" si="28"/>
        <v>97607.27663654707</v>
      </c>
      <c r="F89" s="25">
        <f t="shared" si="28"/>
        <v>130070.04255676533</v>
      </c>
      <c r="G89" s="25">
        <f t="shared" si="28"/>
        <v>149830.03101649537</v>
      </c>
      <c r="H89" s="25">
        <f t="shared" si="28"/>
        <v>174145.31573341138</v>
      </c>
      <c r="I89" s="26"/>
      <c r="J89" s="26"/>
      <c r="K89" s="26"/>
    </row>
    <row r="90" spans="1:11" ht="15">
      <c r="A90" s="7" t="s">
        <v>68</v>
      </c>
      <c r="B90" s="25">
        <f aca="true" t="shared" si="29" ref="B90:H90">B87*B43</f>
        <v>4106.062000000001</v>
      </c>
      <c r="C90" s="25">
        <f t="shared" si="29"/>
        <v>7441.286643000001</v>
      </c>
      <c r="D90" s="25">
        <f t="shared" si="29"/>
        <v>16840.721825177534</v>
      </c>
      <c r="E90" s="25">
        <f t="shared" si="29"/>
        <v>27452.04655402886</v>
      </c>
      <c r="F90" s="25">
        <f t="shared" si="29"/>
        <v>36582.19946909025</v>
      </c>
      <c r="G90" s="25">
        <f t="shared" si="29"/>
        <v>42139.69622338932</v>
      </c>
      <c r="H90" s="25">
        <f t="shared" si="29"/>
        <v>48978.37005002195</v>
      </c>
      <c r="I90" s="26"/>
      <c r="J90" s="26"/>
      <c r="K90" s="26"/>
    </row>
    <row r="91" spans="1:8" ht="15">
      <c r="A91" s="7"/>
      <c r="B91" s="7"/>
      <c r="C91" s="7"/>
      <c r="D91" s="7"/>
      <c r="E91" s="7"/>
      <c r="F91" s="7"/>
      <c r="G91" s="7"/>
      <c r="H91" s="7"/>
    </row>
    <row r="92" spans="1:8" ht="15">
      <c r="A92" s="22" t="s">
        <v>69</v>
      </c>
      <c r="B92" s="7"/>
      <c r="C92" s="7"/>
      <c r="D92" s="7"/>
      <c r="E92" s="7"/>
      <c r="F92" s="7"/>
      <c r="G92" s="7"/>
      <c r="H92" s="7"/>
    </row>
    <row r="93" spans="1:8" ht="15">
      <c r="A93" s="7"/>
      <c r="B93" s="7"/>
      <c r="C93" s="7"/>
      <c r="D93" s="7"/>
      <c r="E93" s="7"/>
      <c r="F93" s="7"/>
      <c r="G93" s="7"/>
      <c r="H93" s="7"/>
    </row>
    <row r="94" spans="1:8" ht="15">
      <c r="A94" s="27" t="s">
        <v>70</v>
      </c>
      <c r="B94" s="7"/>
      <c r="C94" s="7"/>
      <c r="D94" s="7"/>
      <c r="E94" s="7"/>
      <c r="F94" s="7"/>
      <c r="G94" s="7"/>
      <c r="H94" s="7"/>
    </row>
    <row r="95" spans="1:11" ht="15">
      <c r="A95" s="7" t="s">
        <v>71</v>
      </c>
      <c r="B95" s="19">
        <f aca="true" t="shared" si="30" ref="B95:H95">B87*B48</f>
        <v>66723.5075</v>
      </c>
      <c r="C95" s="19">
        <f t="shared" si="30"/>
        <v>96736.72635900002</v>
      </c>
      <c r="D95" s="19">
        <f t="shared" si="30"/>
        <v>182441.15310608994</v>
      </c>
      <c r="E95" s="19">
        <f t="shared" si="30"/>
        <v>297397.1710019793</v>
      </c>
      <c r="F95" s="19">
        <f t="shared" si="30"/>
        <v>396307.16091514437</v>
      </c>
      <c r="G95" s="19">
        <f t="shared" si="30"/>
        <v>456513.3757533843</v>
      </c>
      <c r="H95" s="19">
        <f t="shared" si="30"/>
        <v>530599.0088752378</v>
      </c>
      <c r="I95" s="28"/>
      <c r="J95" s="28"/>
      <c r="K95" s="28"/>
    </row>
    <row r="96" spans="1:11" ht="15">
      <c r="A96" s="7" t="s">
        <v>72</v>
      </c>
      <c r="B96" s="19">
        <f aca="true" t="shared" si="31" ref="B96:H97">B89*B49</f>
        <v>273737.46666666673</v>
      </c>
      <c r="C96" s="19">
        <f t="shared" si="31"/>
        <v>476242.3451520001</v>
      </c>
      <c r="D96" s="19">
        <f t="shared" si="31"/>
        <v>1047867.1357888245</v>
      </c>
      <c r="E96" s="19">
        <f t="shared" si="31"/>
        <v>1952145.5327309414</v>
      </c>
      <c r="F96" s="19">
        <f t="shared" si="31"/>
        <v>2601400.8511353065</v>
      </c>
      <c r="G96" s="19">
        <f t="shared" si="31"/>
        <v>2996600.620329907</v>
      </c>
      <c r="H96" s="19">
        <f t="shared" si="31"/>
        <v>3482906.3146682275</v>
      </c>
      <c r="I96" s="28"/>
      <c r="J96" s="28"/>
      <c r="K96" s="28"/>
    </row>
    <row r="97" spans="1:11" ht="15">
      <c r="A97" s="7" t="s">
        <v>73</v>
      </c>
      <c r="B97" s="19">
        <f t="shared" si="31"/>
        <v>246363.72000000006</v>
      </c>
      <c r="C97" s="19">
        <f t="shared" si="31"/>
        <v>446477.1985800001</v>
      </c>
      <c r="D97" s="19">
        <f t="shared" si="31"/>
        <v>1010443.309510652</v>
      </c>
      <c r="E97" s="19">
        <f t="shared" si="31"/>
        <v>1647122.7932417316</v>
      </c>
      <c r="F97" s="19">
        <f t="shared" si="31"/>
        <v>2194931.968145415</v>
      </c>
      <c r="G97" s="19">
        <f t="shared" si="31"/>
        <v>2528381.773403359</v>
      </c>
      <c r="H97" s="19">
        <f t="shared" si="31"/>
        <v>2938702.203001317</v>
      </c>
      <c r="I97" s="28"/>
      <c r="J97" s="28"/>
      <c r="K97" s="28"/>
    </row>
    <row r="98" spans="1:11" ht="15">
      <c r="A98" s="7" t="s">
        <v>74</v>
      </c>
      <c r="B98" s="19">
        <f aca="true" t="shared" si="32" ref="B98:H98">B69*(1-B15)*B51</f>
        <v>5937.675000000001</v>
      </c>
      <c r="C98" s="19">
        <f t="shared" si="32"/>
        <v>9304.123752</v>
      </c>
      <c r="D98" s="19">
        <f t="shared" si="32"/>
        <v>13754.160505266747</v>
      </c>
      <c r="E98" s="19">
        <f t="shared" si="32"/>
        <v>17120.393036006717</v>
      </c>
      <c r="F98" s="19">
        <f t="shared" si="32"/>
        <v>19677.092814976368</v>
      </c>
      <c r="G98" s="19">
        <f t="shared" si="32"/>
        <v>22561.40087300001</v>
      </c>
      <c r="H98" s="19">
        <f t="shared" si="32"/>
        <v>25956.706219809945</v>
      </c>
      <c r="I98" s="28"/>
      <c r="J98" s="28"/>
      <c r="K98" s="28"/>
    </row>
    <row r="99" spans="1:11" ht="15">
      <c r="A99" s="7" t="s">
        <v>75</v>
      </c>
      <c r="B99" s="19">
        <f aca="true" t="shared" si="33" ref="B99:H99">(B81*B52)+(B82*B53)</f>
        <v>14880</v>
      </c>
      <c r="C99" s="19">
        <f t="shared" si="33"/>
        <v>11073.595229999999</v>
      </c>
      <c r="D99" s="19">
        <f t="shared" si="33"/>
        <v>14669.7967468584</v>
      </c>
      <c r="E99" s="19">
        <f t="shared" si="33"/>
        <v>18620.33333558623</v>
      </c>
      <c r="F99" s="19">
        <f t="shared" si="33"/>
        <v>22160.332677653092</v>
      </c>
      <c r="G99" s="19">
        <f t="shared" si="33"/>
        <v>25437.38831456388</v>
      </c>
      <c r="H99" s="19">
        <f t="shared" si="33"/>
        <v>29199.010698189642</v>
      </c>
      <c r="I99" s="28"/>
      <c r="J99" s="28"/>
      <c r="K99" s="28"/>
    </row>
    <row r="100" spans="1:11" ht="15">
      <c r="A100" s="7" t="s">
        <v>76</v>
      </c>
      <c r="B100" s="19">
        <f aca="true" t="shared" si="34" ref="B100:H100">B75*B55</f>
        <v>0</v>
      </c>
      <c r="C100" s="19">
        <f t="shared" si="34"/>
        <v>0</v>
      </c>
      <c r="D100" s="19">
        <f t="shared" si="34"/>
        <v>13602.118254000005</v>
      </c>
      <c r="E100" s="19">
        <f t="shared" si="34"/>
        <v>44202.06466633509</v>
      </c>
      <c r="F100" s="19">
        <f t="shared" si="34"/>
        <v>71620.31792418609</v>
      </c>
      <c r="G100" s="19">
        <f t="shared" si="34"/>
        <v>78569.686130217</v>
      </c>
      <c r="H100" s="19">
        <f t="shared" si="34"/>
        <v>90160.0669938373</v>
      </c>
      <c r="I100" s="28"/>
      <c r="J100" s="28"/>
      <c r="K100" s="28"/>
    </row>
    <row r="101" spans="1:11" ht="15">
      <c r="A101" s="7"/>
      <c r="B101" s="19"/>
      <c r="C101" s="19"/>
      <c r="D101" s="19"/>
      <c r="E101" s="19"/>
      <c r="F101" s="19"/>
      <c r="G101" s="19"/>
      <c r="H101" s="19"/>
      <c r="I101" s="28"/>
      <c r="J101" s="28"/>
      <c r="K101" s="28"/>
    </row>
    <row r="102" spans="1:11" ht="15">
      <c r="A102" s="7" t="s">
        <v>77</v>
      </c>
      <c r="B102" s="19">
        <f aca="true" t="shared" si="35" ref="B102:H102">B95+B98+B99+B100</f>
        <v>87541.18250000001</v>
      </c>
      <c r="C102" s="19">
        <f t="shared" si="35"/>
        <v>117114.44534100001</v>
      </c>
      <c r="D102" s="19">
        <f t="shared" si="35"/>
        <v>224467.22861221508</v>
      </c>
      <c r="E102" s="19">
        <f t="shared" si="35"/>
        <v>377339.96203990735</v>
      </c>
      <c r="F102" s="19">
        <f t="shared" si="35"/>
        <v>509764.9043319599</v>
      </c>
      <c r="G102" s="19">
        <f t="shared" si="35"/>
        <v>583081.8510711653</v>
      </c>
      <c r="H102" s="19">
        <f t="shared" si="35"/>
        <v>675914.7927870746</v>
      </c>
      <c r="I102" s="28"/>
      <c r="J102" s="28"/>
      <c r="K102" s="28"/>
    </row>
    <row r="103" spans="1:11" ht="15">
      <c r="A103" s="7" t="s">
        <v>78</v>
      </c>
      <c r="B103" s="19">
        <f aca="true" t="shared" si="36" ref="B103:H103">B96+B98+B99+B100</f>
        <v>294555.1416666667</v>
      </c>
      <c r="C103" s="19">
        <f t="shared" si="36"/>
        <v>496620.06413400004</v>
      </c>
      <c r="D103" s="19">
        <f t="shared" si="36"/>
        <v>1089893.2112949498</v>
      </c>
      <c r="E103" s="19">
        <f t="shared" si="36"/>
        <v>2032088.3237688693</v>
      </c>
      <c r="F103" s="19">
        <f t="shared" si="36"/>
        <v>2714858.594552122</v>
      </c>
      <c r="G103" s="19">
        <f t="shared" si="36"/>
        <v>3123169.0956476876</v>
      </c>
      <c r="H103" s="19">
        <f t="shared" si="36"/>
        <v>3628222.0985800643</v>
      </c>
      <c r="I103" s="28"/>
      <c r="J103" s="28"/>
      <c r="K103" s="28"/>
    </row>
    <row r="104" spans="1:11" ht="15">
      <c r="A104" s="7" t="s">
        <v>79</v>
      </c>
      <c r="B104" s="19">
        <f aca="true" t="shared" si="37" ref="B104:H104">B97+B98+B99+B100</f>
        <v>267181.395</v>
      </c>
      <c r="C104" s="19">
        <f t="shared" si="37"/>
        <v>466854.91756200005</v>
      </c>
      <c r="D104" s="19">
        <f t="shared" si="37"/>
        <v>1052469.385016777</v>
      </c>
      <c r="E104" s="19">
        <f t="shared" si="37"/>
        <v>1727065.5842796594</v>
      </c>
      <c r="F104" s="19">
        <f t="shared" si="37"/>
        <v>2308389.7115622307</v>
      </c>
      <c r="G104" s="19">
        <f t="shared" si="37"/>
        <v>2654950.2487211395</v>
      </c>
      <c r="H104" s="19">
        <f t="shared" si="37"/>
        <v>3084017.986913154</v>
      </c>
      <c r="I104" s="28"/>
      <c r="J104" s="28"/>
      <c r="K104" s="28"/>
    </row>
    <row r="105" spans="1:8" ht="15">
      <c r="A105" s="7"/>
      <c r="B105" s="19"/>
      <c r="C105" s="7"/>
      <c r="D105" s="7"/>
      <c r="E105" s="7"/>
      <c r="F105" s="7"/>
      <c r="G105" s="7"/>
      <c r="H105" s="7"/>
    </row>
    <row r="106" spans="1:8" ht="15">
      <c r="A106" s="27" t="s">
        <v>80</v>
      </c>
      <c r="B106" s="19"/>
      <c r="C106" s="7"/>
      <c r="D106" s="7"/>
      <c r="E106" s="7"/>
      <c r="F106" s="7"/>
      <c r="G106" s="7"/>
      <c r="H106" s="7"/>
    </row>
    <row r="107" spans="1:8" ht="15">
      <c r="A107" s="7"/>
      <c r="B107" s="19"/>
      <c r="C107" s="7"/>
      <c r="D107" s="7"/>
      <c r="E107" s="7"/>
      <c r="F107" s="7"/>
      <c r="G107" s="7"/>
      <c r="H107" s="7"/>
    </row>
    <row r="108" spans="1:11" ht="15">
      <c r="A108" s="7" t="s">
        <v>81</v>
      </c>
      <c r="B108" s="19">
        <f aca="true" t="shared" si="38" ref="B108:H108">(B72+B76)*B57</f>
        <v>38272</v>
      </c>
      <c r="C108" s="19">
        <f t="shared" si="38"/>
        <v>33009.6</v>
      </c>
      <c r="D108" s="19">
        <f t="shared" si="38"/>
        <v>39462.7138552416</v>
      </c>
      <c r="E108" s="19">
        <f t="shared" si="38"/>
        <v>48535.10393916339</v>
      </c>
      <c r="F108" s="19">
        <f t="shared" si="38"/>
        <v>58110.35849883014</v>
      </c>
      <c r="G108" s="19">
        <f t="shared" si="38"/>
        <v>66408.09005877594</v>
      </c>
      <c r="H108" s="19">
        <f t="shared" si="38"/>
        <v>76347.76761261962</v>
      </c>
      <c r="I108" s="28"/>
      <c r="J108" s="28"/>
      <c r="K108" s="28"/>
    </row>
    <row r="109" spans="1:11" ht="15">
      <c r="A109" s="7" t="s">
        <v>82</v>
      </c>
      <c r="B109" s="19">
        <f aca="true" t="shared" si="39" ref="B109:H109">(B66+B78)*B58</f>
        <v>2448</v>
      </c>
      <c r="C109" s="19">
        <f t="shared" si="39"/>
        <v>1610.7839999999999</v>
      </c>
      <c r="D109" s="19">
        <f t="shared" si="39"/>
        <v>2916.80928495264</v>
      </c>
      <c r="E109" s="19">
        <f t="shared" si="39"/>
        <v>3587.3772476772942</v>
      </c>
      <c r="F109" s="19">
        <f t="shared" si="39"/>
        <v>4295.113454261357</v>
      </c>
      <c r="G109" s="19">
        <f t="shared" si="39"/>
        <v>4908.424047822569</v>
      </c>
      <c r="H109" s="19">
        <f t="shared" si="39"/>
        <v>5643.0958670197115</v>
      </c>
      <c r="I109" s="28"/>
      <c r="J109" s="28"/>
      <c r="K109" s="28"/>
    </row>
    <row r="110" spans="1:11" ht="15">
      <c r="A110" s="7" t="s">
        <v>83</v>
      </c>
      <c r="B110" s="19">
        <f>400000/15</f>
        <v>26666.666666666668</v>
      </c>
      <c r="C110" s="19">
        <f aca="true" t="shared" si="40" ref="C110:H110">400000/15</f>
        <v>26666.666666666668</v>
      </c>
      <c r="D110" s="19">
        <f t="shared" si="40"/>
        <v>26666.666666666668</v>
      </c>
      <c r="E110" s="19">
        <f t="shared" si="40"/>
        <v>26666.666666666668</v>
      </c>
      <c r="F110" s="19">
        <f t="shared" si="40"/>
        <v>26666.666666666668</v>
      </c>
      <c r="G110" s="19">
        <f t="shared" si="40"/>
        <v>26666.666666666668</v>
      </c>
      <c r="H110" s="19">
        <f t="shared" si="40"/>
        <v>26666.666666666668</v>
      </c>
      <c r="I110" s="28"/>
      <c r="J110" s="28"/>
      <c r="K110" s="28"/>
    </row>
    <row r="111" spans="1:11" ht="15">
      <c r="A111" s="7" t="s">
        <v>84</v>
      </c>
      <c r="B111" s="19">
        <f>20000/5</f>
        <v>4000</v>
      </c>
      <c r="C111" s="19">
        <f aca="true" t="shared" si="41" ref="C111:H111">20000/5</f>
        <v>4000</v>
      </c>
      <c r="D111" s="19">
        <f t="shared" si="41"/>
        <v>4000</v>
      </c>
      <c r="E111" s="19">
        <f t="shared" si="41"/>
        <v>4000</v>
      </c>
      <c r="F111" s="19">
        <f t="shared" si="41"/>
        <v>4000</v>
      </c>
      <c r="G111" s="19">
        <f t="shared" si="41"/>
        <v>4000</v>
      </c>
      <c r="H111" s="19">
        <f t="shared" si="41"/>
        <v>4000</v>
      </c>
      <c r="I111" s="28"/>
      <c r="J111" s="28"/>
      <c r="K111" s="28"/>
    </row>
    <row r="112" spans="1:11" ht="15">
      <c r="A112" s="7" t="s">
        <v>85</v>
      </c>
      <c r="B112" s="19">
        <f>100000/7</f>
        <v>14285.714285714286</v>
      </c>
      <c r="C112" s="19">
        <f aca="true" t="shared" si="42" ref="C112:H112">100000/7</f>
        <v>14285.714285714286</v>
      </c>
      <c r="D112" s="19">
        <f t="shared" si="42"/>
        <v>14285.714285714286</v>
      </c>
      <c r="E112" s="19">
        <f t="shared" si="42"/>
        <v>14285.714285714286</v>
      </c>
      <c r="F112" s="19">
        <f t="shared" si="42"/>
        <v>14285.714285714286</v>
      </c>
      <c r="G112" s="19">
        <f t="shared" si="42"/>
        <v>14285.714285714286</v>
      </c>
      <c r="H112" s="19">
        <f t="shared" si="42"/>
        <v>14285.714285714286</v>
      </c>
      <c r="I112" s="28"/>
      <c r="J112" s="28"/>
      <c r="K112" s="28"/>
    </row>
    <row r="113" spans="1:11" ht="15">
      <c r="A113" s="7" t="s">
        <v>86</v>
      </c>
      <c r="B113" s="19">
        <f>SUM(B108:B112)</f>
        <v>85672.38095238096</v>
      </c>
      <c r="C113" s="19">
        <f aca="true" t="shared" si="43" ref="C113:H113">SUM(C108:C112)</f>
        <v>79572.76495238095</v>
      </c>
      <c r="D113" s="19">
        <f t="shared" si="43"/>
        <v>87331.9040925752</v>
      </c>
      <c r="E113" s="19">
        <f t="shared" si="43"/>
        <v>97074.86213922164</v>
      </c>
      <c r="F113" s="19">
        <f t="shared" si="43"/>
        <v>107357.85290547245</v>
      </c>
      <c r="G113" s="19">
        <f t="shared" si="43"/>
        <v>116268.89505897947</v>
      </c>
      <c r="H113" s="19">
        <f t="shared" si="43"/>
        <v>126943.24443202029</v>
      </c>
      <c r="I113" s="28"/>
      <c r="J113" s="28"/>
      <c r="K113" s="28"/>
    </row>
    <row r="114" spans="1:8" ht="15">
      <c r="A114" s="7"/>
      <c r="B114" s="7"/>
      <c r="C114" s="7"/>
      <c r="D114" s="7"/>
      <c r="E114" s="7"/>
      <c r="F114" s="7"/>
      <c r="G114" s="7"/>
      <c r="H114" s="7"/>
    </row>
    <row r="115" spans="1:8" ht="15">
      <c r="A115" s="27" t="s">
        <v>87</v>
      </c>
      <c r="B115" s="7"/>
      <c r="C115" s="7"/>
      <c r="D115" s="7"/>
      <c r="E115" s="7"/>
      <c r="F115" s="7"/>
      <c r="G115" s="7"/>
      <c r="H115" s="7"/>
    </row>
    <row r="118" spans="1:8" ht="15">
      <c r="A118" s="7" t="s">
        <v>88</v>
      </c>
      <c r="B118" s="29">
        <v>60000</v>
      </c>
      <c r="C118" s="17">
        <f aca="true" t="shared" si="44" ref="C118:H125">B118*B$61</f>
        <v>60000</v>
      </c>
      <c r="D118" s="17">
        <f t="shared" si="44"/>
        <v>60000</v>
      </c>
      <c r="E118" s="17">
        <f t="shared" si="44"/>
        <v>60000</v>
      </c>
      <c r="F118" s="17">
        <f t="shared" si="44"/>
        <v>60000</v>
      </c>
      <c r="G118" s="17">
        <f t="shared" si="44"/>
        <v>60000</v>
      </c>
      <c r="H118" s="17">
        <f t="shared" si="44"/>
        <v>60000</v>
      </c>
    </row>
    <row r="119" spans="1:11" ht="15">
      <c r="A119" s="7" t="s">
        <v>89</v>
      </c>
      <c r="B119" s="19">
        <v>124800</v>
      </c>
      <c r="C119" s="17">
        <f t="shared" si="44"/>
        <v>124800</v>
      </c>
      <c r="D119" s="17">
        <f t="shared" si="44"/>
        <v>124800</v>
      </c>
      <c r="E119" s="17">
        <f t="shared" si="44"/>
        <v>124800</v>
      </c>
      <c r="F119" s="17">
        <f t="shared" si="44"/>
        <v>124800</v>
      </c>
      <c r="G119" s="17">
        <f t="shared" si="44"/>
        <v>124800</v>
      </c>
      <c r="H119" s="17">
        <f t="shared" si="44"/>
        <v>124800</v>
      </c>
      <c r="I119" s="20"/>
      <c r="J119" s="20"/>
      <c r="K119" s="20"/>
    </row>
    <row r="120" spans="1:11" ht="15">
      <c r="A120" s="7" t="s">
        <v>90</v>
      </c>
      <c r="B120" s="19">
        <v>6000</v>
      </c>
      <c r="C120" s="17">
        <f t="shared" si="44"/>
        <v>6000</v>
      </c>
      <c r="D120" s="17">
        <f t="shared" si="44"/>
        <v>6000</v>
      </c>
      <c r="E120" s="17">
        <f t="shared" si="44"/>
        <v>6000</v>
      </c>
      <c r="F120" s="17">
        <f t="shared" si="44"/>
        <v>6000</v>
      </c>
      <c r="G120" s="17">
        <f t="shared" si="44"/>
        <v>6000</v>
      </c>
      <c r="H120" s="17">
        <f t="shared" si="44"/>
        <v>6000</v>
      </c>
      <c r="I120" s="20"/>
      <c r="J120" s="20"/>
      <c r="K120" s="20"/>
    </row>
    <row r="121" spans="1:11" ht="15">
      <c r="A121" s="7" t="s">
        <v>91</v>
      </c>
      <c r="B121" s="19">
        <v>12000</v>
      </c>
      <c r="C121" s="17">
        <f t="shared" si="44"/>
        <v>12000</v>
      </c>
      <c r="D121" s="17">
        <f t="shared" si="44"/>
        <v>12000</v>
      </c>
      <c r="E121" s="17">
        <f t="shared" si="44"/>
        <v>12000</v>
      </c>
      <c r="F121" s="17">
        <f t="shared" si="44"/>
        <v>12000</v>
      </c>
      <c r="G121" s="17">
        <f t="shared" si="44"/>
        <v>12000</v>
      </c>
      <c r="H121" s="17">
        <f t="shared" si="44"/>
        <v>12000</v>
      </c>
      <c r="I121" s="20"/>
      <c r="J121" s="20"/>
      <c r="K121" s="20"/>
    </row>
    <row r="122" spans="1:11" ht="15">
      <c r="A122" s="7" t="s">
        <v>92</v>
      </c>
      <c r="B122" s="19">
        <v>24000</v>
      </c>
      <c r="C122" s="17">
        <f t="shared" si="44"/>
        <v>24000</v>
      </c>
      <c r="D122" s="17">
        <f t="shared" si="44"/>
        <v>24000</v>
      </c>
      <c r="E122" s="17">
        <f t="shared" si="44"/>
        <v>24000</v>
      </c>
      <c r="F122" s="17">
        <f t="shared" si="44"/>
        <v>24000</v>
      </c>
      <c r="G122" s="17">
        <f t="shared" si="44"/>
        <v>24000</v>
      </c>
      <c r="H122" s="17">
        <f t="shared" si="44"/>
        <v>24000</v>
      </c>
      <c r="I122" s="20"/>
      <c r="J122" s="20"/>
      <c r="K122" s="20"/>
    </row>
    <row r="123" spans="1:11" ht="15">
      <c r="A123" s="7" t="s">
        <v>93</v>
      </c>
      <c r="B123" s="19">
        <v>5000</v>
      </c>
      <c r="C123" s="17">
        <f t="shared" si="44"/>
        <v>5000</v>
      </c>
      <c r="D123" s="17">
        <f t="shared" si="44"/>
        <v>5000</v>
      </c>
      <c r="E123" s="17">
        <f t="shared" si="44"/>
        <v>5000</v>
      </c>
      <c r="F123" s="17">
        <f t="shared" si="44"/>
        <v>5000</v>
      </c>
      <c r="G123" s="17">
        <f t="shared" si="44"/>
        <v>5000</v>
      </c>
      <c r="H123" s="17">
        <f t="shared" si="44"/>
        <v>5000</v>
      </c>
      <c r="I123" s="20"/>
      <c r="J123" s="20"/>
      <c r="K123" s="20"/>
    </row>
    <row r="124" spans="1:11" ht="15">
      <c r="A124" s="7" t="s">
        <v>94</v>
      </c>
      <c r="B124" s="19">
        <v>5000</v>
      </c>
      <c r="C124" s="17">
        <f t="shared" si="44"/>
        <v>5000</v>
      </c>
      <c r="D124" s="17">
        <f t="shared" si="44"/>
        <v>5000</v>
      </c>
      <c r="E124" s="17">
        <f t="shared" si="44"/>
        <v>5000</v>
      </c>
      <c r="F124" s="17">
        <f t="shared" si="44"/>
        <v>5000</v>
      </c>
      <c r="G124" s="17">
        <f t="shared" si="44"/>
        <v>5000</v>
      </c>
      <c r="H124" s="17">
        <f t="shared" si="44"/>
        <v>5000</v>
      </c>
      <c r="I124" s="20"/>
      <c r="J124" s="20"/>
      <c r="K124" s="20"/>
    </row>
    <row r="125" spans="1:11" ht="15">
      <c r="A125" s="7" t="s">
        <v>95</v>
      </c>
      <c r="B125" s="19">
        <v>5000</v>
      </c>
      <c r="C125" s="17">
        <f t="shared" si="44"/>
        <v>5000</v>
      </c>
      <c r="D125" s="17">
        <f t="shared" si="44"/>
        <v>5000</v>
      </c>
      <c r="E125" s="17">
        <f t="shared" si="44"/>
        <v>5000</v>
      </c>
      <c r="F125" s="17">
        <f t="shared" si="44"/>
        <v>5000</v>
      </c>
      <c r="G125" s="17">
        <f t="shared" si="44"/>
        <v>5000</v>
      </c>
      <c r="H125" s="17">
        <f t="shared" si="44"/>
        <v>5000</v>
      </c>
      <c r="I125" s="20"/>
      <c r="J125" s="20"/>
      <c r="K125" s="20"/>
    </row>
    <row r="126" spans="1:8" ht="15">
      <c r="A126" s="7" t="s">
        <v>96</v>
      </c>
      <c r="B126" s="7"/>
      <c r="C126" s="7"/>
      <c r="D126" s="7"/>
      <c r="E126" s="7"/>
      <c r="F126" s="7"/>
      <c r="G126" s="7"/>
      <c r="H126" s="7"/>
    </row>
    <row r="127" spans="1:11" ht="15">
      <c r="A127" s="30" t="s">
        <v>20</v>
      </c>
      <c r="B127" s="19">
        <f aca="true" t="shared" si="45" ref="B127:H127">((316*B36+10*B28+900)/1000*B56*B34+B28*0.035*(365-B34))*B67</f>
        <v>124450.74384</v>
      </c>
      <c r="C127" s="19">
        <f t="shared" si="45"/>
        <v>117879.53354257347</v>
      </c>
      <c r="D127" s="19">
        <f t="shared" si="45"/>
        <v>170408.0992810695</v>
      </c>
      <c r="E127" s="19">
        <f t="shared" si="45"/>
        <v>209838.7397327337</v>
      </c>
      <c r="F127" s="19">
        <f t="shared" si="45"/>
        <v>253352.22368116025</v>
      </c>
      <c r="G127" s="19">
        <f t="shared" si="45"/>
        <v>288485.71341854136</v>
      </c>
      <c r="H127" s="19">
        <f t="shared" si="45"/>
        <v>332231.9267604601</v>
      </c>
      <c r="I127" s="28"/>
      <c r="J127" s="28"/>
      <c r="K127" s="28"/>
    </row>
    <row r="128" spans="1:11" ht="15">
      <c r="A128" s="30" t="s">
        <v>21</v>
      </c>
      <c r="B128" s="19">
        <f aca="true" t="shared" si="46" ref="B128:H128">(((316*B37+10*B29+900)/1000*B56*B35)+B29*0.035*(365-B35))*(B68-B75/2)</f>
        <v>15926.3344</v>
      </c>
      <c r="C128" s="19">
        <f t="shared" si="46"/>
        <v>26309.644005284652</v>
      </c>
      <c r="D128" s="19">
        <f t="shared" si="46"/>
        <v>42133.00641651888</v>
      </c>
      <c r="E128" s="19">
        <f t="shared" si="46"/>
        <v>61591.268832441514</v>
      </c>
      <c r="F128" s="19">
        <f t="shared" si="46"/>
        <v>79565.08795715161</v>
      </c>
      <c r="G128" s="19">
        <f t="shared" si="46"/>
        <v>94867.7748447518</v>
      </c>
      <c r="H128" s="19">
        <f t="shared" si="46"/>
        <v>111802.28292177041</v>
      </c>
      <c r="I128" s="28"/>
      <c r="J128" s="28"/>
      <c r="K128" s="28"/>
    </row>
    <row r="129" spans="1:11" ht="15">
      <c r="A129" s="30" t="s">
        <v>97</v>
      </c>
      <c r="B129" s="19">
        <f aca="true" t="shared" si="47" ref="B129:H129">B30*0.05*B56*B71*(30.4*5)</f>
        <v>11732.845800000005</v>
      </c>
      <c r="C129" s="19">
        <f t="shared" si="47"/>
        <v>18384.948533952</v>
      </c>
      <c r="D129" s="19">
        <f t="shared" si="47"/>
        <v>27178.221158407097</v>
      </c>
      <c r="E129" s="19">
        <f t="shared" si="47"/>
        <v>33829.89663914928</v>
      </c>
      <c r="F129" s="19">
        <f t="shared" si="47"/>
        <v>38881.935402393305</v>
      </c>
      <c r="G129" s="19">
        <f t="shared" si="47"/>
        <v>44581.328125048014</v>
      </c>
      <c r="H129" s="19">
        <f t="shared" si="47"/>
        <v>51290.45149034446</v>
      </c>
      <c r="I129" s="28"/>
      <c r="J129" s="28"/>
      <c r="K129" s="28"/>
    </row>
    <row r="130" spans="1:11" ht="15">
      <c r="A130" s="30" t="s">
        <v>23</v>
      </c>
      <c r="B130" s="19">
        <f aca="true" t="shared" si="48" ref="B130:H130">B31*0.025*B56*B66*365</f>
        <v>7592</v>
      </c>
      <c r="C130" s="19">
        <f t="shared" si="48"/>
        <v>4995.536</v>
      </c>
      <c r="D130" s="19">
        <f t="shared" si="48"/>
        <v>3391.9689439999993</v>
      </c>
      <c r="E130" s="19">
        <f t="shared" si="48"/>
        <v>7980.843357531895</v>
      </c>
      <c r="F130" s="19">
        <f t="shared" si="48"/>
        <v>8675.43993906043</v>
      </c>
      <c r="G130" s="19">
        <f t="shared" si="48"/>
        <v>10657.106174309849</v>
      </c>
      <c r="H130" s="19">
        <f t="shared" si="48"/>
        <v>11950.79919332223</v>
      </c>
      <c r="I130" s="28"/>
      <c r="J130" s="28"/>
      <c r="K130" s="28"/>
    </row>
    <row r="131" spans="1:11" ht="15">
      <c r="A131" s="31" t="s">
        <v>98</v>
      </c>
      <c r="B131" s="19">
        <f aca="true" t="shared" si="49" ref="B131:H131">SUM(B127:B130)*B44</f>
        <v>31940.384808000003</v>
      </c>
      <c r="C131" s="19">
        <f t="shared" si="49"/>
        <v>30162.53917472582</v>
      </c>
      <c r="D131" s="19">
        <f t="shared" si="49"/>
        <v>36466.69436999932</v>
      </c>
      <c r="E131" s="19">
        <f t="shared" si="49"/>
        <v>40721.29731304133</v>
      </c>
      <c r="F131" s="19">
        <f t="shared" si="49"/>
        <v>41852.21556777421</v>
      </c>
      <c r="G131" s="19">
        <f t="shared" si="49"/>
        <v>48245.11148189162</v>
      </c>
      <c r="H131" s="19">
        <f t="shared" si="49"/>
        <v>55800.30064024869</v>
      </c>
      <c r="I131" s="28"/>
      <c r="J131" s="28"/>
      <c r="K131" s="28"/>
    </row>
    <row r="132" spans="1:11" ht="15">
      <c r="A132" s="32" t="s">
        <v>99</v>
      </c>
      <c r="B132" s="19">
        <f aca="true" t="shared" si="50" ref="B132:H132">SUM(B127:B131)</f>
        <v>191642.30884800002</v>
      </c>
      <c r="C132" s="19">
        <f t="shared" si="50"/>
        <v>197732.20125653595</v>
      </c>
      <c r="D132" s="19">
        <f t="shared" si="50"/>
        <v>279577.9901699948</v>
      </c>
      <c r="E132" s="19">
        <f t="shared" si="50"/>
        <v>353962.04587489774</v>
      </c>
      <c r="F132" s="19">
        <f t="shared" si="50"/>
        <v>422326.90254753974</v>
      </c>
      <c r="G132" s="19">
        <f t="shared" si="50"/>
        <v>486837.03404454264</v>
      </c>
      <c r="H132" s="19">
        <f t="shared" si="50"/>
        <v>563075.761006146</v>
      </c>
      <c r="I132" s="28"/>
      <c r="J132" s="28"/>
      <c r="K132" s="28"/>
    </row>
    <row r="133" spans="1:8" ht="15">
      <c r="A133" s="7"/>
      <c r="B133" s="7"/>
      <c r="C133" s="7"/>
      <c r="D133" s="7"/>
      <c r="E133" s="7"/>
      <c r="F133" s="7"/>
      <c r="G133" s="7"/>
      <c r="H133" s="7"/>
    </row>
    <row r="134" spans="1:11" ht="15">
      <c r="A134" s="7" t="s">
        <v>100</v>
      </c>
      <c r="B134" s="19">
        <f aca="true" t="shared" si="51" ref="B134:H135">B89*B59</f>
        <v>82121.24000000002</v>
      </c>
      <c r="C134" s="19">
        <f t="shared" si="51"/>
        <v>142872.7035456</v>
      </c>
      <c r="D134" s="19">
        <f t="shared" si="51"/>
        <v>314360.14073664736</v>
      </c>
      <c r="E134" s="19">
        <f t="shared" si="51"/>
        <v>585643.6598192825</v>
      </c>
      <c r="F134" s="19">
        <f t="shared" si="51"/>
        <v>780420.255340592</v>
      </c>
      <c r="G134" s="19">
        <f t="shared" si="51"/>
        <v>898980.1860989722</v>
      </c>
      <c r="H134" s="19">
        <f t="shared" si="51"/>
        <v>1044871.8944004683</v>
      </c>
      <c r="I134" s="28"/>
      <c r="J134" s="28"/>
      <c r="K134" s="28"/>
    </row>
    <row r="135" spans="1:11" ht="15">
      <c r="A135" s="7" t="s">
        <v>101</v>
      </c>
      <c r="B135" s="19">
        <f t="shared" si="51"/>
        <v>49272.744000000006</v>
      </c>
      <c r="C135" s="19">
        <f t="shared" si="51"/>
        <v>89295.43971600002</v>
      </c>
      <c r="D135" s="19">
        <f t="shared" si="51"/>
        <v>202088.6619021304</v>
      </c>
      <c r="E135" s="19">
        <f t="shared" si="51"/>
        <v>329424.55864834634</v>
      </c>
      <c r="F135" s="19">
        <f t="shared" si="51"/>
        <v>438986.393629083</v>
      </c>
      <c r="G135" s="19">
        <f t="shared" si="51"/>
        <v>505676.3546806718</v>
      </c>
      <c r="H135" s="19">
        <f t="shared" si="51"/>
        <v>587740.4406002634</v>
      </c>
      <c r="I135" s="28"/>
      <c r="J135" s="28"/>
      <c r="K135" s="28"/>
    </row>
    <row r="136" spans="1:8" ht="15">
      <c r="A136" s="7"/>
      <c r="B136" s="7"/>
      <c r="C136" s="7"/>
      <c r="D136" s="7"/>
      <c r="E136" s="7"/>
      <c r="F136" s="7"/>
      <c r="G136" s="7"/>
      <c r="H136" s="7"/>
    </row>
    <row r="137" spans="1:11" ht="15">
      <c r="A137" s="7" t="s">
        <v>102</v>
      </c>
      <c r="B137" s="17">
        <f>SUM(B118:B125)+B132</f>
        <v>433442.308848</v>
      </c>
      <c r="C137" s="17">
        <f aca="true" t="shared" si="52" ref="C137:H137">SUM(C118:C125)+C132</f>
        <v>439532.20125653595</v>
      </c>
      <c r="D137" s="17">
        <f t="shared" si="52"/>
        <v>521377.9901699948</v>
      </c>
      <c r="E137" s="17">
        <f t="shared" si="52"/>
        <v>595762.0458748977</v>
      </c>
      <c r="F137" s="17">
        <f t="shared" si="52"/>
        <v>664126.9025475397</v>
      </c>
      <c r="G137" s="17">
        <f t="shared" si="52"/>
        <v>728637.0340445426</v>
      </c>
      <c r="H137" s="17">
        <f t="shared" si="52"/>
        <v>804875.761006146</v>
      </c>
      <c r="I137" s="20"/>
      <c r="J137" s="20"/>
      <c r="K137" s="20"/>
    </row>
    <row r="138" spans="1:11" ht="15">
      <c r="A138" s="7" t="s">
        <v>103</v>
      </c>
      <c r="B138" s="17">
        <f>SUM(B118:B125)+B132+B134</f>
        <v>515563.548848</v>
      </c>
      <c r="C138" s="17">
        <f aca="true" t="shared" si="53" ref="C138:H138">SUM(C118:C125)+C132+C134</f>
        <v>582404.9048021359</v>
      </c>
      <c r="D138" s="17">
        <f t="shared" si="53"/>
        <v>835738.1309066422</v>
      </c>
      <c r="E138" s="17">
        <f t="shared" si="53"/>
        <v>1181405.7056941802</v>
      </c>
      <c r="F138" s="17">
        <f t="shared" si="53"/>
        <v>1444547.1578881317</v>
      </c>
      <c r="G138" s="17">
        <f t="shared" si="53"/>
        <v>1627617.2201435147</v>
      </c>
      <c r="H138" s="17">
        <f t="shared" si="53"/>
        <v>1849747.6554066143</v>
      </c>
      <c r="I138" s="20"/>
      <c r="J138" s="20"/>
      <c r="K138" s="20"/>
    </row>
    <row r="139" spans="1:11" ht="15">
      <c r="A139" s="7" t="s">
        <v>104</v>
      </c>
      <c r="B139" s="17">
        <f>SUM(B118:B125)+B132+B135</f>
        <v>482715.052848</v>
      </c>
      <c r="C139" s="17">
        <f aca="true" t="shared" si="54" ref="C139:H139">SUM(C118:C125)+C132+C135</f>
        <v>528827.6409725359</v>
      </c>
      <c r="D139" s="17">
        <f t="shared" si="54"/>
        <v>723466.6520721252</v>
      </c>
      <c r="E139" s="17">
        <f t="shared" si="54"/>
        <v>925186.6045232441</v>
      </c>
      <c r="F139" s="17">
        <f t="shared" si="54"/>
        <v>1103113.2961766226</v>
      </c>
      <c r="G139" s="17">
        <f t="shared" si="54"/>
        <v>1234313.3887252144</v>
      </c>
      <c r="H139" s="17">
        <f t="shared" si="54"/>
        <v>1392616.2016064094</v>
      </c>
      <c r="I139" s="20"/>
      <c r="J139" s="20"/>
      <c r="K139" s="20"/>
    </row>
    <row r="140" spans="1:8" ht="15">
      <c r="A140" s="7"/>
      <c r="B140" s="17"/>
      <c r="C140" s="7"/>
      <c r="D140" s="7"/>
      <c r="E140" s="7"/>
      <c r="F140" s="7"/>
      <c r="G140" s="7"/>
      <c r="H140" s="7"/>
    </row>
    <row r="141" spans="1:8" ht="15">
      <c r="A141" s="27" t="s">
        <v>105</v>
      </c>
      <c r="B141" s="7"/>
      <c r="C141" s="7"/>
      <c r="D141" s="7"/>
      <c r="E141" s="7"/>
      <c r="F141" s="7"/>
      <c r="G141" s="7"/>
      <c r="H141" s="7"/>
    </row>
    <row r="142" spans="1:11" ht="15">
      <c r="A142" s="7" t="s">
        <v>71</v>
      </c>
      <c r="B142" s="17">
        <f aca="true" t="shared" si="55" ref="B142:H142">B113+B137</f>
        <v>519114.68980038096</v>
      </c>
      <c r="C142" s="17">
        <f t="shared" si="55"/>
        <v>519104.9662089169</v>
      </c>
      <c r="D142" s="17">
        <f t="shared" si="55"/>
        <v>608709.8942625701</v>
      </c>
      <c r="E142" s="17">
        <f t="shared" si="55"/>
        <v>692836.9080141194</v>
      </c>
      <c r="F142" s="17">
        <f t="shared" si="55"/>
        <v>771484.7554530122</v>
      </c>
      <c r="G142" s="17">
        <f t="shared" si="55"/>
        <v>844905.9291035221</v>
      </c>
      <c r="H142" s="17">
        <f t="shared" si="55"/>
        <v>931819.0054381662</v>
      </c>
      <c r="I142" s="20"/>
      <c r="J142" s="20"/>
      <c r="K142" s="20"/>
    </row>
    <row r="143" spans="1:11" ht="15">
      <c r="A143" s="7" t="s">
        <v>72</v>
      </c>
      <c r="B143" s="17">
        <f aca="true" t="shared" si="56" ref="B143:H143">B113+B138</f>
        <v>601235.929800381</v>
      </c>
      <c r="C143" s="17">
        <f t="shared" si="56"/>
        <v>661977.6697545168</v>
      </c>
      <c r="D143" s="17">
        <f t="shared" si="56"/>
        <v>923070.0349992174</v>
      </c>
      <c r="E143" s="17">
        <f t="shared" si="56"/>
        <v>1278480.567833402</v>
      </c>
      <c r="F143" s="17">
        <f t="shared" si="56"/>
        <v>1551905.0107936042</v>
      </c>
      <c r="G143" s="17">
        <f t="shared" si="56"/>
        <v>1743886.1152024942</v>
      </c>
      <c r="H143" s="17">
        <f t="shared" si="56"/>
        <v>1976690.8998386345</v>
      </c>
      <c r="I143" s="20"/>
      <c r="J143" s="20"/>
      <c r="K143" s="20"/>
    </row>
    <row r="144" spans="1:11" ht="15">
      <c r="A144" s="7" t="s">
        <v>73</v>
      </c>
      <c r="B144" s="17">
        <f aca="true" t="shared" si="57" ref="B144:H144">B113+B139</f>
        <v>568387.433800381</v>
      </c>
      <c r="C144" s="17">
        <f t="shared" si="57"/>
        <v>608400.4059249168</v>
      </c>
      <c r="D144" s="17">
        <f t="shared" si="57"/>
        <v>810798.5561647004</v>
      </c>
      <c r="E144" s="17">
        <f t="shared" si="57"/>
        <v>1022261.4666624657</v>
      </c>
      <c r="F144" s="17">
        <f t="shared" si="57"/>
        <v>1210471.1490820951</v>
      </c>
      <c r="G144" s="17">
        <f t="shared" si="57"/>
        <v>1350582.283784194</v>
      </c>
      <c r="H144" s="17">
        <f t="shared" si="57"/>
        <v>1519559.4460384296</v>
      </c>
      <c r="I144" s="20"/>
      <c r="J144" s="20"/>
      <c r="K144" s="20"/>
    </row>
    <row r="145" spans="1:8" ht="15">
      <c r="A145" s="7"/>
      <c r="B145" s="7"/>
      <c r="C145" s="7"/>
      <c r="D145" s="7"/>
      <c r="E145" s="7"/>
      <c r="F145" s="7"/>
      <c r="G145" s="7"/>
      <c r="H145" s="7"/>
    </row>
    <row r="146" spans="1:8" ht="15">
      <c r="A146" s="27" t="s">
        <v>106</v>
      </c>
      <c r="B146" s="7"/>
      <c r="C146" s="7"/>
      <c r="D146" s="7"/>
      <c r="E146" s="7"/>
      <c r="F146" s="7"/>
      <c r="G146" s="7"/>
      <c r="H146" s="7"/>
    </row>
    <row r="147" spans="1:11" ht="15">
      <c r="A147" s="7" t="s">
        <v>71</v>
      </c>
      <c r="B147" s="17">
        <f aca="true" t="shared" si="58" ref="B147:H149">B102-B142</f>
        <v>-431573.50730038097</v>
      </c>
      <c r="C147" s="17">
        <f t="shared" si="58"/>
        <v>-401990.5208679169</v>
      </c>
      <c r="D147" s="17">
        <f t="shared" si="58"/>
        <v>-384242.665650355</v>
      </c>
      <c r="E147" s="17">
        <f t="shared" si="58"/>
        <v>-315496.945974212</v>
      </c>
      <c r="F147" s="17">
        <f t="shared" si="58"/>
        <v>-261719.85112105228</v>
      </c>
      <c r="G147" s="17">
        <f t="shared" si="58"/>
        <v>-261824.0780323568</v>
      </c>
      <c r="H147" s="17">
        <f t="shared" si="58"/>
        <v>-255904.21265109163</v>
      </c>
      <c r="I147" s="20"/>
      <c r="J147" s="20"/>
      <c r="K147" s="20"/>
    </row>
    <row r="148" spans="1:11" ht="15">
      <c r="A148" s="7" t="s">
        <v>72</v>
      </c>
      <c r="B148" s="17">
        <f t="shared" si="58"/>
        <v>-306680.78813371423</v>
      </c>
      <c r="C148" s="17">
        <f t="shared" si="58"/>
        <v>-165357.60562051676</v>
      </c>
      <c r="D148" s="17">
        <f t="shared" si="58"/>
        <v>166823.17629573238</v>
      </c>
      <c r="E148" s="17">
        <f t="shared" si="58"/>
        <v>753607.7559354673</v>
      </c>
      <c r="F148" s="17">
        <f t="shared" si="58"/>
        <v>1162953.5837585179</v>
      </c>
      <c r="G148" s="17">
        <f t="shared" si="58"/>
        <v>1379282.9804451934</v>
      </c>
      <c r="H148" s="17">
        <f t="shared" si="58"/>
        <v>1651531.1987414297</v>
      </c>
      <c r="I148" s="20"/>
      <c r="J148" s="20"/>
      <c r="K148" s="20"/>
    </row>
    <row r="149" spans="1:11" ht="15">
      <c r="A149" s="7" t="s">
        <v>73</v>
      </c>
      <c r="B149" s="17">
        <f t="shared" si="58"/>
        <v>-301206.038800381</v>
      </c>
      <c r="C149" s="17">
        <f t="shared" si="58"/>
        <v>-141545.4883629168</v>
      </c>
      <c r="D149" s="17">
        <f t="shared" si="58"/>
        <v>241670.82885207667</v>
      </c>
      <c r="E149" s="17">
        <f t="shared" si="58"/>
        <v>704804.1176171937</v>
      </c>
      <c r="F149" s="17">
        <f t="shared" si="58"/>
        <v>1097918.5624801356</v>
      </c>
      <c r="G149" s="17">
        <f t="shared" si="58"/>
        <v>1304367.9649369456</v>
      </c>
      <c r="H149" s="17">
        <f t="shared" si="58"/>
        <v>1564458.5408747243</v>
      </c>
      <c r="I149" s="20"/>
      <c r="J149" s="20"/>
      <c r="K149" s="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aducoing</dc:creator>
  <cp:keywords/>
  <dc:description/>
  <cp:lastModifiedBy>aducoing</cp:lastModifiedBy>
  <dcterms:created xsi:type="dcterms:W3CDTF">2008-01-16T18:27:37Z</dcterms:created>
  <dcterms:modified xsi:type="dcterms:W3CDTF">2008-01-16T18:28:48Z</dcterms:modified>
  <cp:category/>
  <cp:version/>
  <cp:contentType/>
  <cp:contentStatus/>
</cp:coreProperties>
</file>